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1387"/>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QD1 .A355 no. 166</t>
        </is>
      </c>
      <c r="C2" t="inlineStr">
        <is>
          <t>0                      QD 0001000A  355                                                     no. 166</t>
        </is>
      </c>
      <c r="D2" t="inlineStr">
        <is>
          <t>Evaporation-combustion of fuels : a symposium / sponsored by the Division of Petroleum Chemistry, inc., at the 172nd meeting of the American Chemical Society, San Francisco, Calif., August 31-September 1, 1976 ; Joseph T. Zung, editor. --</t>
        </is>
      </c>
      <c r="E2" t="inlineStr">
        <is>
          <t>no. 166*</t>
        </is>
      </c>
      <c r="F2" t="inlineStr">
        <is>
          <t>No</t>
        </is>
      </c>
      <c r="G2" t="inlineStr">
        <is>
          <t>1</t>
        </is>
      </c>
      <c r="H2" t="inlineStr">
        <is>
          <t>No</t>
        </is>
      </c>
      <c r="I2" t="inlineStr">
        <is>
          <t>No</t>
        </is>
      </c>
      <c r="J2" t="inlineStr">
        <is>
          <t>0</t>
        </is>
      </c>
      <c r="L2" t="inlineStr">
        <is>
          <t>Washington : American Chemical Society, 1978.</t>
        </is>
      </c>
      <c r="M2" t="inlineStr">
        <is>
          <t>1978</t>
        </is>
      </c>
      <c r="O2" t="inlineStr">
        <is>
          <t>eng</t>
        </is>
      </c>
      <c r="P2" t="inlineStr">
        <is>
          <t>dcu</t>
        </is>
      </c>
      <c r="Q2" t="inlineStr">
        <is>
          <t>Advances in chemistry series, 0065-2393 ; 166</t>
        </is>
      </c>
      <c r="R2" t="inlineStr">
        <is>
          <t xml:space="preserve">QD </t>
        </is>
      </c>
      <c r="S2" t="n">
        <v>4</v>
      </c>
      <c r="T2" t="n">
        <v>4</v>
      </c>
      <c r="U2" t="inlineStr">
        <is>
          <t>1998-07-23</t>
        </is>
      </c>
      <c r="V2" t="inlineStr">
        <is>
          <t>1998-07-23</t>
        </is>
      </c>
      <c r="W2" t="inlineStr">
        <is>
          <t>1993-05-14</t>
        </is>
      </c>
      <c r="X2" t="inlineStr">
        <is>
          <t>1993-05-14</t>
        </is>
      </c>
      <c r="Y2" t="n">
        <v>333</v>
      </c>
      <c r="Z2" t="n">
        <v>264</v>
      </c>
      <c r="AA2" t="n">
        <v>305</v>
      </c>
      <c r="AB2" t="n">
        <v>2</v>
      </c>
      <c r="AC2" t="n">
        <v>2</v>
      </c>
      <c r="AD2" t="n">
        <v>8</v>
      </c>
      <c r="AE2" t="n">
        <v>8</v>
      </c>
      <c r="AF2" t="n">
        <v>1</v>
      </c>
      <c r="AG2" t="n">
        <v>1</v>
      </c>
      <c r="AH2" t="n">
        <v>4</v>
      </c>
      <c r="AI2" t="n">
        <v>4</v>
      </c>
      <c r="AJ2" t="n">
        <v>5</v>
      </c>
      <c r="AK2" t="n">
        <v>5</v>
      </c>
      <c r="AL2" t="n">
        <v>1</v>
      </c>
      <c r="AM2" t="n">
        <v>1</v>
      </c>
      <c r="AN2" t="n">
        <v>0</v>
      </c>
      <c r="AO2" t="n">
        <v>0</v>
      </c>
      <c r="AP2" t="inlineStr">
        <is>
          <t>No</t>
        </is>
      </c>
      <c r="AQ2" t="inlineStr">
        <is>
          <t>Yes</t>
        </is>
      </c>
      <c r="AR2">
        <f>HYPERLINK("http://catalog.hathitrust.org/Record/000126301","HathiTrust Record")</f>
        <v/>
      </c>
      <c r="AS2">
        <f>HYPERLINK("https://creighton-primo.hosted.exlibrisgroup.com/primo-explore/search?tab=default_tab&amp;search_scope=EVERYTHING&amp;vid=01CRU&amp;lang=en_US&amp;offset=0&amp;query=any,contains,991005371799702656","Catalog Record")</f>
        <v/>
      </c>
      <c r="AT2">
        <f>HYPERLINK("http://www.worldcat.org/oclc/3913320","WorldCat Record")</f>
        <v/>
      </c>
      <c r="AU2" t="inlineStr">
        <is>
          <t>793132033:eng</t>
        </is>
      </c>
      <c r="AV2" t="inlineStr">
        <is>
          <t>3913320</t>
        </is>
      </c>
      <c r="AW2" t="inlineStr">
        <is>
          <t>991005371799702656</t>
        </is>
      </c>
      <c r="AX2" t="inlineStr">
        <is>
          <t>991005371799702656</t>
        </is>
      </c>
      <c r="AY2" t="inlineStr">
        <is>
          <t>2258230860002656</t>
        </is>
      </c>
      <c r="AZ2" t="inlineStr">
        <is>
          <t>BOOK</t>
        </is>
      </c>
      <c r="BB2" t="inlineStr">
        <is>
          <t>9780841203839</t>
        </is>
      </c>
      <c r="BC2" t="inlineStr">
        <is>
          <t>32285001657096</t>
        </is>
      </c>
      <c r="BD2" t="inlineStr">
        <is>
          <t>893254920</t>
        </is>
      </c>
    </row>
    <row r="3">
      <c r="A3" t="inlineStr">
        <is>
          <t>No</t>
        </is>
      </c>
      <c r="B3" t="inlineStr">
        <is>
          <t>QD1 .A355 no. 167</t>
        </is>
      </c>
      <c r="C3" t="inlineStr">
        <is>
          <t>0                      QD 0001000A  355                                                     no. 167</t>
        </is>
      </c>
      <c r="D3" t="inlineStr">
        <is>
          <t>Transition metal hydrides : a symposium sponsored by the ACS Division of Inorganic Chemistry at the 2nd Joint Conference of the Chemical Institute of Canada and the American Chemical Society, Montreal, May 30-June 2, 1977 / Robert Bau, editor. --</t>
        </is>
      </c>
      <c r="E3" t="inlineStr">
        <is>
          <t>no. 167*</t>
        </is>
      </c>
      <c r="F3" t="inlineStr">
        <is>
          <t>No</t>
        </is>
      </c>
      <c r="G3" t="inlineStr">
        <is>
          <t>1</t>
        </is>
      </c>
      <c r="H3" t="inlineStr">
        <is>
          <t>No</t>
        </is>
      </c>
      <c r="I3" t="inlineStr">
        <is>
          <t>No</t>
        </is>
      </c>
      <c r="J3" t="inlineStr">
        <is>
          <t>0</t>
        </is>
      </c>
      <c r="L3" t="inlineStr">
        <is>
          <t>Washington : American Chemical Society, 1978.</t>
        </is>
      </c>
      <c r="M3" t="inlineStr">
        <is>
          <t>1978</t>
        </is>
      </c>
      <c r="O3" t="inlineStr">
        <is>
          <t>eng</t>
        </is>
      </c>
      <c r="P3" t="inlineStr">
        <is>
          <t>dcu</t>
        </is>
      </c>
      <c r="Q3" t="inlineStr">
        <is>
          <t>Advances in chemistry series, 0065-2393 ; 167</t>
        </is>
      </c>
      <c r="R3" t="inlineStr">
        <is>
          <t xml:space="preserve">QD </t>
        </is>
      </c>
      <c r="S3" t="n">
        <v>1</v>
      </c>
      <c r="T3" t="n">
        <v>1</v>
      </c>
      <c r="U3" t="inlineStr">
        <is>
          <t>1998-07-23</t>
        </is>
      </c>
      <c r="V3" t="inlineStr">
        <is>
          <t>1998-07-23</t>
        </is>
      </c>
      <c r="W3" t="inlineStr">
        <is>
          <t>1993-05-14</t>
        </is>
      </c>
      <c r="X3" t="inlineStr">
        <is>
          <t>1993-05-14</t>
        </is>
      </c>
      <c r="Y3" t="n">
        <v>384</v>
      </c>
      <c r="Z3" t="n">
        <v>298</v>
      </c>
      <c r="AA3" t="n">
        <v>336</v>
      </c>
      <c r="AB3" t="n">
        <v>2</v>
      </c>
      <c r="AC3" t="n">
        <v>2</v>
      </c>
      <c r="AD3" t="n">
        <v>12</v>
      </c>
      <c r="AE3" t="n">
        <v>12</v>
      </c>
      <c r="AF3" t="n">
        <v>2</v>
      </c>
      <c r="AG3" t="n">
        <v>2</v>
      </c>
      <c r="AH3" t="n">
        <v>5</v>
      </c>
      <c r="AI3" t="n">
        <v>5</v>
      </c>
      <c r="AJ3" t="n">
        <v>8</v>
      </c>
      <c r="AK3" t="n">
        <v>8</v>
      </c>
      <c r="AL3" t="n">
        <v>1</v>
      </c>
      <c r="AM3" t="n">
        <v>1</v>
      </c>
      <c r="AN3" t="n">
        <v>0</v>
      </c>
      <c r="AO3" t="n">
        <v>0</v>
      </c>
      <c r="AP3" t="inlineStr">
        <is>
          <t>No</t>
        </is>
      </c>
      <c r="AQ3" t="inlineStr">
        <is>
          <t>Yes</t>
        </is>
      </c>
      <c r="AR3">
        <f>HYPERLINK("http://catalog.hathitrust.org/Record/000136630","HathiTrust Record")</f>
        <v/>
      </c>
      <c r="AS3">
        <f>HYPERLINK("https://creighton-primo.hosted.exlibrisgroup.com/primo-explore/search?tab=default_tab&amp;search_scope=EVERYTHING&amp;vid=01CRU&amp;lang=en_US&amp;offset=0&amp;query=any,contains,991005371709702656","Catalog Record")</f>
        <v/>
      </c>
      <c r="AT3">
        <f>HYPERLINK("http://www.worldcat.org/oclc/3870027","WorldCat Record")</f>
        <v/>
      </c>
      <c r="AU3" t="inlineStr">
        <is>
          <t>806763049:eng</t>
        </is>
      </c>
      <c r="AV3" t="inlineStr">
        <is>
          <t>3870027</t>
        </is>
      </c>
      <c r="AW3" t="inlineStr">
        <is>
          <t>991005371709702656</t>
        </is>
      </c>
      <c r="AX3" t="inlineStr">
        <is>
          <t>991005371709702656</t>
        </is>
      </c>
      <c r="AY3" t="inlineStr">
        <is>
          <t>2259287110002656</t>
        </is>
      </c>
      <c r="AZ3" t="inlineStr">
        <is>
          <t>BOOK</t>
        </is>
      </c>
      <c r="BB3" t="inlineStr">
        <is>
          <t>9780841203907</t>
        </is>
      </c>
      <c r="BC3" t="inlineStr">
        <is>
          <t>32285001657104</t>
        </is>
      </c>
      <c r="BD3" t="inlineStr">
        <is>
          <t>893353884</t>
        </is>
      </c>
    </row>
    <row r="4">
      <c r="A4" t="inlineStr">
        <is>
          <t>No</t>
        </is>
      </c>
      <c r="B4" t="inlineStr">
        <is>
          <t>QD1 .A355 no. 177</t>
        </is>
      </c>
      <c r="C4" t="inlineStr">
        <is>
          <t>0                      QD 0001000A  355                                                     no. 177</t>
        </is>
      </c>
      <c r="D4" t="inlineStr">
        <is>
          <t>Thermodynamic behavior of electrolytes in mixed solvents--II : based on a symposium sponsored by the Division of Industrial and Engineering Chemistry at the 175th meeting of the American Chemical Society, Anaheim, California, March 13-16, 1978/ William F. Furter, editor.</t>
        </is>
      </c>
      <c r="E4" t="inlineStr">
        <is>
          <t>no. 177*</t>
        </is>
      </c>
      <c r="F4" t="inlineStr">
        <is>
          <t>No</t>
        </is>
      </c>
      <c r="G4" t="inlineStr">
        <is>
          <t>1</t>
        </is>
      </c>
      <c r="H4" t="inlineStr">
        <is>
          <t>No</t>
        </is>
      </c>
      <c r="I4" t="inlineStr">
        <is>
          <t>No</t>
        </is>
      </c>
      <c r="J4" t="inlineStr">
        <is>
          <t>0</t>
        </is>
      </c>
      <c r="L4" t="inlineStr">
        <is>
          <t>Washington : American Chemical Society, 1979.</t>
        </is>
      </c>
      <c r="M4" t="inlineStr">
        <is>
          <t>1979</t>
        </is>
      </c>
      <c r="O4" t="inlineStr">
        <is>
          <t>eng</t>
        </is>
      </c>
      <c r="P4" t="inlineStr">
        <is>
          <t>dcu</t>
        </is>
      </c>
      <c r="Q4" t="inlineStr">
        <is>
          <t>Advances in chemistry series, 0065-2393 ; 177</t>
        </is>
      </c>
      <c r="R4" t="inlineStr">
        <is>
          <t xml:space="preserve">QD </t>
        </is>
      </c>
      <c r="S4" t="n">
        <v>1</v>
      </c>
      <c r="T4" t="n">
        <v>1</v>
      </c>
      <c r="U4" t="inlineStr">
        <is>
          <t>1998-07-23</t>
        </is>
      </c>
      <c r="V4" t="inlineStr">
        <is>
          <t>1998-07-23</t>
        </is>
      </c>
      <c r="W4" t="inlineStr">
        <is>
          <t>1993-05-14</t>
        </is>
      </c>
      <c r="X4" t="inlineStr">
        <is>
          <t>1993-05-14</t>
        </is>
      </c>
      <c r="Y4" t="n">
        <v>297</v>
      </c>
      <c r="Z4" t="n">
        <v>243</v>
      </c>
      <c r="AA4" t="n">
        <v>252</v>
      </c>
      <c r="AB4" t="n">
        <v>2</v>
      </c>
      <c r="AC4" t="n">
        <v>2</v>
      </c>
      <c r="AD4" t="n">
        <v>11</v>
      </c>
      <c r="AE4" t="n">
        <v>11</v>
      </c>
      <c r="AF4" t="n">
        <v>3</v>
      </c>
      <c r="AG4" t="n">
        <v>3</v>
      </c>
      <c r="AH4" t="n">
        <v>4</v>
      </c>
      <c r="AI4" t="n">
        <v>4</v>
      </c>
      <c r="AJ4" t="n">
        <v>7</v>
      </c>
      <c r="AK4" t="n">
        <v>7</v>
      </c>
      <c r="AL4" t="n">
        <v>1</v>
      </c>
      <c r="AM4" t="n">
        <v>1</v>
      </c>
      <c r="AN4" t="n">
        <v>0</v>
      </c>
      <c r="AO4" t="n">
        <v>0</v>
      </c>
      <c r="AP4" t="inlineStr">
        <is>
          <t>No</t>
        </is>
      </c>
      <c r="AQ4" t="inlineStr">
        <is>
          <t>No</t>
        </is>
      </c>
      <c r="AS4">
        <f>HYPERLINK("https://creighton-primo.hosted.exlibrisgroup.com/primo-explore/search?tab=default_tab&amp;search_scope=EVERYTHING&amp;vid=01CRU&amp;lang=en_US&amp;offset=0&amp;query=any,contains,991005374439702656","Catalog Record")</f>
        <v/>
      </c>
      <c r="AT4">
        <f>HYPERLINK("http://www.worldcat.org/oclc/4775337","WorldCat Record")</f>
        <v/>
      </c>
      <c r="AU4" t="inlineStr">
        <is>
          <t>806763035:eng</t>
        </is>
      </c>
      <c r="AV4" t="inlineStr">
        <is>
          <t>4775337</t>
        </is>
      </c>
      <c r="AW4" t="inlineStr">
        <is>
          <t>991005374439702656</t>
        </is>
      </c>
      <c r="AX4" t="inlineStr">
        <is>
          <t>991005374439702656</t>
        </is>
      </c>
      <c r="AY4" t="inlineStr">
        <is>
          <t>2255371650002656</t>
        </is>
      </c>
      <c r="AZ4" t="inlineStr">
        <is>
          <t>BOOK</t>
        </is>
      </c>
      <c r="BB4" t="inlineStr">
        <is>
          <t>9780841204287</t>
        </is>
      </c>
      <c r="BC4" t="inlineStr">
        <is>
          <t>32285001657195</t>
        </is>
      </c>
      <c r="BD4" t="inlineStr">
        <is>
          <t>893418858</t>
        </is>
      </c>
    </row>
    <row r="5">
      <c r="A5" t="inlineStr">
        <is>
          <t>No</t>
        </is>
      </c>
      <c r="B5" t="inlineStr">
        <is>
          <t>QD1 .A355 no. 178</t>
        </is>
      </c>
      <c r="C5" t="inlineStr">
        <is>
          <t>0                      QD 0001000A  355                                                     no. 178</t>
        </is>
      </c>
      <c r="D5" t="inlineStr">
        <is>
          <t>Hydrocarbon synthesis from carbon monoxide and hydrogen : based on a symposium sponsored by the Division of Petroleum Chemistry, inc., at the 175th meeting of the American Chemical Society, Anaheim, California, March 13-14, 1978 / Edwin L. Kugler, editor, F. W. Steffgen, editor.</t>
        </is>
      </c>
      <c r="E5" t="inlineStr">
        <is>
          <t>no. 178*</t>
        </is>
      </c>
      <c r="F5" t="inlineStr">
        <is>
          <t>No</t>
        </is>
      </c>
      <c r="G5" t="inlineStr">
        <is>
          <t>1</t>
        </is>
      </c>
      <c r="H5" t="inlineStr">
        <is>
          <t>No</t>
        </is>
      </c>
      <c r="I5" t="inlineStr">
        <is>
          <t>No</t>
        </is>
      </c>
      <c r="J5" t="inlineStr">
        <is>
          <t>0</t>
        </is>
      </c>
      <c r="L5" t="inlineStr">
        <is>
          <t>Washington : American Chemical Society, 1979.</t>
        </is>
      </c>
      <c r="M5" t="inlineStr">
        <is>
          <t>1979</t>
        </is>
      </c>
      <c r="O5" t="inlineStr">
        <is>
          <t>eng</t>
        </is>
      </c>
      <c r="P5" t="inlineStr">
        <is>
          <t>dcu</t>
        </is>
      </c>
      <c r="Q5" t="inlineStr">
        <is>
          <t>Advances in chemistry series, 0065-2393 ; 178</t>
        </is>
      </c>
      <c r="R5" t="inlineStr">
        <is>
          <t xml:space="preserve">QD </t>
        </is>
      </c>
      <c r="S5" t="n">
        <v>6</v>
      </c>
      <c r="T5" t="n">
        <v>6</v>
      </c>
      <c r="U5" t="inlineStr">
        <is>
          <t>1998-07-23</t>
        </is>
      </c>
      <c r="V5" t="inlineStr">
        <is>
          <t>1998-07-23</t>
        </is>
      </c>
      <c r="W5" t="inlineStr">
        <is>
          <t>1993-05-14</t>
        </is>
      </c>
      <c r="X5" t="inlineStr">
        <is>
          <t>1993-05-14</t>
        </is>
      </c>
      <c r="Y5" t="n">
        <v>375</v>
      </c>
      <c r="Z5" t="n">
        <v>298</v>
      </c>
      <c r="AA5" t="n">
        <v>338</v>
      </c>
      <c r="AB5" t="n">
        <v>2</v>
      </c>
      <c r="AC5" t="n">
        <v>2</v>
      </c>
      <c r="AD5" t="n">
        <v>15</v>
      </c>
      <c r="AE5" t="n">
        <v>15</v>
      </c>
      <c r="AF5" t="n">
        <v>5</v>
      </c>
      <c r="AG5" t="n">
        <v>5</v>
      </c>
      <c r="AH5" t="n">
        <v>6</v>
      </c>
      <c r="AI5" t="n">
        <v>6</v>
      </c>
      <c r="AJ5" t="n">
        <v>7</v>
      </c>
      <c r="AK5" t="n">
        <v>7</v>
      </c>
      <c r="AL5" t="n">
        <v>1</v>
      </c>
      <c r="AM5" t="n">
        <v>1</v>
      </c>
      <c r="AN5" t="n">
        <v>0</v>
      </c>
      <c r="AO5" t="n">
        <v>0</v>
      </c>
      <c r="AP5" t="inlineStr">
        <is>
          <t>No</t>
        </is>
      </c>
      <c r="AQ5" t="inlineStr">
        <is>
          <t>Yes</t>
        </is>
      </c>
      <c r="AR5">
        <f>HYPERLINK("http://catalog.hathitrust.org/Record/000755943","HathiTrust Record")</f>
        <v/>
      </c>
      <c r="AS5">
        <f>HYPERLINK("https://creighton-primo.hosted.exlibrisgroup.com/primo-explore/search?tab=default_tab&amp;search_scope=EVERYTHING&amp;vid=01CRU&amp;lang=en_US&amp;offset=0&amp;query=any,contains,991005378139702656","Catalog Record")</f>
        <v/>
      </c>
      <c r="AT5">
        <f>HYPERLINK("http://www.worldcat.org/oclc/5264682","WorldCat Record")</f>
        <v/>
      </c>
      <c r="AU5" t="inlineStr">
        <is>
          <t>806763028:eng</t>
        </is>
      </c>
      <c r="AV5" t="inlineStr">
        <is>
          <t>5264682</t>
        </is>
      </c>
      <c r="AW5" t="inlineStr">
        <is>
          <t>991005378139702656</t>
        </is>
      </c>
      <c r="AX5" t="inlineStr">
        <is>
          <t>991005378139702656</t>
        </is>
      </c>
      <c r="AY5" t="inlineStr">
        <is>
          <t>2259080170002656</t>
        </is>
      </c>
      <c r="AZ5" t="inlineStr">
        <is>
          <t>BOOK</t>
        </is>
      </c>
      <c r="BB5" t="inlineStr">
        <is>
          <t>9780841204539</t>
        </is>
      </c>
      <c r="BC5" t="inlineStr">
        <is>
          <t>32285001657203</t>
        </is>
      </c>
      <c r="BD5" t="inlineStr">
        <is>
          <t>893808369</t>
        </is>
      </c>
    </row>
    <row r="6">
      <c r="A6" t="inlineStr">
        <is>
          <t>No</t>
        </is>
      </c>
      <c r="B6" t="inlineStr">
        <is>
          <t>QD1 .A355 no. 179</t>
        </is>
      </c>
      <c r="C6" t="inlineStr">
        <is>
          <t>0                      QD 0001000A  355                                                     no. 179</t>
        </is>
      </c>
      <c r="D6" t="inlineStr">
        <is>
          <t>Refining of synthetic crudes : based on a symposium sponsored by the Division of Petroleum Chemistry at the 174th Meeting of the American Chemical Society, Chicago, Illinois, August 29-September 1, 1977 / Brian M. Harney, editor, Martin L. Gorbaty, editor.</t>
        </is>
      </c>
      <c r="E6" t="inlineStr">
        <is>
          <t>no. 179*</t>
        </is>
      </c>
      <c r="F6" t="inlineStr">
        <is>
          <t>No</t>
        </is>
      </c>
      <c r="G6" t="inlineStr">
        <is>
          <t>1</t>
        </is>
      </c>
      <c r="H6" t="inlineStr">
        <is>
          <t>No</t>
        </is>
      </c>
      <c r="I6" t="inlineStr">
        <is>
          <t>No</t>
        </is>
      </c>
      <c r="J6" t="inlineStr">
        <is>
          <t>0</t>
        </is>
      </c>
      <c r="L6" t="inlineStr">
        <is>
          <t>Washington : American Chemical Society, 1979.</t>
        </is>
      </c>
      <c r="M6" t="inlineStr">
        <is>
          <t>1979</t>
        </is>
      </c>
      <c r="O6" t="inlineStr">
        <is>
          <t>eng</t>
        </is>
      </c>
      <c r="P6" t="inlineStr">
        <is>
          <t>dcu</t>
        </is>
      </c>
      <c r="Q6" t="inlineStr">
        <is>
          <t>Advances in chemistry series, 0065-2393 ; 179</t>
        </is>
      </c>
      <c r="R6" t="inlineStr">
        <is>
          <t xml:space="preserve">QD </t>
        </is>
      </c>
      <c r="S6" t="n">
        <v>1</v>
      </c>
      <c r="T6" t="n">
        <v>1</v>
      </c>
      <c r="U6" t="inlineStr">
        <is>
          <t>1998-07-23</t>
        </is>
      </c>
      <c r="V6" t="inlineStr">
        <is>
          <t>1998-07-23</t>
        </is>
      </c>
      <c r="W6" t="inlineStr">
        <is>
          <t>1993-05-14</t>
        </is>
      </c>
      <c r="X6" t="inlineStr">
        <is>
          <t>1993-05-14</t>
        </is>
      </c>
      <c r="Y6" t="n">
        <v>334</v>
      </c>
      <c r="Z6" t="n">
        <v>262</v>
      </c>
      <c r="AA6" t="n">
        <v>301</v>
      </c>
      <c r="AB6" t="n">
        <v>2</v>
      </c>
      <c r="AC6" t="n">
        <v>2</v>
      </c>
      <c r="AD6" t="n">
        <v>8</v>
      </c>
      <c r="AE6" t="n">
        <v>8</v>
      </c>
      <c r="AF6" t="n">
        <v>1</v>
      </c>
      <c r="AG6" t="n">
        <v>1</v>
      </c>
      <c r="AH6" t="n">
        <v>4</v>
      </c>
      <c r="AI6" t="n">
        <v>4</v>
      </c>
      <c r="AJ6" t="n">
        <v>5</v>
      </c>
      <c r="AK6" t="n">
        <v>5</v>
      </c>
      <c r="AL6" t="n">
        <v>1</v>
      </c>
      <c r="AM6" t="n">
        <v>1</v>
      </c>
      <c r="AN6" t="n">
        <v>0</v>
      </c>
      <c r="AO6" t="n">
        <v>0</v>
      </c>
      <c r="AP6" t="inlineStr">
        <is>
          <t>No</t>
        </is>
      </c>
      <c r="AQ6" t="inlineStr">
        <is>
          <t>Yes</t>
        </is>
      </c>
      <c r="AR6">
        <f>HYPERLINK("http://catalog.hathitrust.org/Record/000757824","HathiTrust Record")</f>
        <v/>
      </c>
      <c r="AS6">
        <f>HYPERLINK("https://creighton-primo.hosted.exlibrisgroup.com/primo-explore/search?tab=default_tab&amp;search_scope=EVERYTHING&amp;vid=01CRU&amp;lang=en_US&amp;offset=0&amp;query=any,contains,991005378329702656","Catalog Record")</f>
        <v/>
      </c>
      <c r="AT6">
        <f>HYPERLINK("http://www.worldcat.org/oclc/5411138","WorldCat Record")</f>
        <v/>
      </c>
      <c r="AU6" t="inlineStr">
        <is>
          <t>806763024:eng</t>
        </is>
      </c>
      <c r="AV6" t="inlineStr">
        <is>
          <t>5411138</t>
        </is>
      </c>
      <c r="AW6" t="inlineStr">
        <is>
          <t>991005378329702656</t>
        </is>
      </c>
      <c r="AX6" t="inlineStr">
        <is>
          <t>991005378329702656</t>
        </is>
      </c>
      <c r="AY6" t="inlineStr">
        <is>
          <t>2256371140002656</t>
        </is>
      </c>
      <c r="AZ6" t="inlineStr">
        <is>
          <t>BOOK</t>
        </is>
      </c>
      <c r="BB6" t="inlineStr">
        <is>
          <t>9780841204560</t>
        </is>
      </c>
      <c r="BC6" t="inlineStr">
        <is>
          <t>32285001657211</t>
        </is>
      </c>
      <c r="BD6" t="inlineStr">
        <is>
          <t>893443922</t>
        </is>
      </c>
    </row>
    <row r="7">
      <c r="A7" t="inlineStr">
        <is>
          <t>No</t>
        </is>
      </c>
      <c r="B7" t="inlineStr">
        <is>
          <t>QD1 .A355 no. 180</t>
        </is>
      </c>
      <c r="C7" t="inlineStr">
        <is>
          <t>0                      QD 0001000A  355                                                     no. 180</t>
        </is>
      </c>
      <c r="D7" t="inlineStr">
        <is>
          <t>Proteins at low temperatures : based on a symposium sponsored by the Division of Agricultural and Food Chemistry at the 175th Meeting of the American Chemical Society, Anaheim, California, March 12-17, 1978 / Owen Fennema, editor.</t>
        </is>
      </c>
      <c r="E7" t="inlineStr">
        <is>
          <t>no. 180*</t>
        </is>
      </c>
      <c r="F7" t="inlineStr">
        <is>
          <t>No</t>
        </is>
      </c>
      <c r="G7" t="inlineStr">
        <is>
          <t>1</t>
        </is>
      </c>
      <c r="H7" t="inlineStr">
        <is>
          <t>No</t>
        </is>
      </c>
      <c r="I7" t="inlineStr">
        <is>
          <t>No</t>
        </is>
      </c>
      <c r="J7" t="inlineStr">
        <is>
          <t>0</t>
        </is>
      </c>
      <c r="L7" t="inlineStr">
        <is>
          <t>Washington : American Chemical Society, 1979.</t>
        </is>
      </c>
      <c r="M7" t="inlineStr">
        <is>
          <t>1979</t>
        </is>
      </c>
      <c r="O7" t="inlineStr">
        <is>
          <t>eng</t>
        </is>
      </c>
      <c r="P7" t="inlineStr">
        <is>
          <t>dcu</t>
        </is>
      </c>
      <c r="Q7" t="inlineStr">
        <is>
          <t>Advances in chemistry series, 0065-2393 ; 180</t>
        </is>
      </c>
      <c r="R7" t="inlineStr">
        <is>
          <t xml:space="preserve">QD </t>
        </is>
      </c>
      <c r="S7" t="n">
        <v>1</v>
      </c>
      <c r="T7" t="n">
        <v>1</v>
      </c>
      <c r="U7" t="inlineStr">
        <is>
          <t>1998-07-23</t>
        </is>
      </c>
      <c r="V7" t="inlineStr">
        <is>
          <t>1998-07-23</t>
        </is>
      </c>
      <c r="W7" t="inlineStr">
        <is>
          <t>1993-05-14</t>
        </is>
      </c>
      <c r="X7" t="inlineStr">
        <is>
          <t>1993-05-14</t>
        </is>
      </c>
      <c r="Y7" t="n">
        <v>292</v>
      </c>
      <c r="Z7" t="n">
        <v>239</v>
      </c>
      <c r="AA7" t="n">
        <v>291</v>
      </c>
      <c r="AB7" t="n">
        <v>2</v>
      </c>
      <c r="AC7" t="n">
        <v>2</v>
      </c>
      <c r="AD7" t="n">
        <v>9</v>
      </c>
      <c r="AE7" t="n">
        <v>10</v>
      </c>
      <c r="AF7" t="n">
        <v>3</v>
      </c>
      <c r="AG7" t="n">
        <v>3</v>
      </c>
      <c r="AH7" t="n">
        <v>3</v>
      </c>
      <c r="AI7" t="n">
        <v>4</v>
      </c>
      <c r="AJ7" t="n">
        <v>4</v>
      </c>
      <c r="AK7" t="n">
        <v>5</v>
      </c>
      <c r="AL7" t="n">
        <v>1</v>
      </c>
      <c r="AM7" t="n">
        <v>1</v>
      </c>
      <c r="AN7" t="n">
        <v>0</v>
      </c>
      <c r="AO7" t="n">
        <v>0</v>
      </c>
      <c r="AP7" t="inlineStr">
        <is>
          <t>No</t>
        </is>
      </c>
      <c r="AQ7" t="inlineStr">
        <is>
          <t>No</t>
        </is>
      </c>
      <c r="AS7">
        <f>HYPERLINK("https://creighton-primo.hosted.exlibrisgroup.com/primo-explore/search?tab=default_tab&amp;search_scope=EVERYTHING&amp;vid=01CRU&amp;lang=en_US&amp;offset=0&amp;query=any,contains,991005377299702656","Catalog Record")</f>
        <v/>
      </c>
      <c r="AT7">
        <f>HYPERLINK("http://www.worldcat.org/oclc/5171559","WorldCat Record")</f>
        <v/>
      </c>
      <c r="AU7" t="inlineStr">
        <is>
          <t>180370715:eng</t>
        </is>
      </c>
      <c r="AV7" t="inlineStr">
        <is>
          <t>5171559</t>
        </is>
      </c>
      <c r="AW7" t="inlineStr">
        <is>
          <t>991005377299702656</t>
        </is>
      </c>
      <c r="AX7" t="inlineStr">
        <is>
          <t>991005377299702656</t>
        </is>
      </c>
      <c r="AY7" t="inlineStr">
        <is>
          <t>2259104010002656</t>
        </is>
      </c>
      <c r="AZ7" t="inlineStr">
        <is>
          <t>BOOK</t>
        </is>
      </c>
      <c r="BB7" t="inlineStr">
        <is>
          <t>9780841204843</t>
        </is>
      </c>
      <c r="BC7" t="inlineStr">
        <is>
          <t>32285001657229</t>
        </is>
      </c>
      <c r="BD7" t="inlineStr">
        <is>
          <t>893320544</t>
        </is>
      </c>
    </row>
    <row r="8">
      <c r="A8" t="inlineStr">
        <is>
          <t>No</t>
        </is>
      </c>
      <c r="B8" t="inlineStr">
        <is>
          <t>QD1 .A355 no. 181</t>
        </is>
      </c>
      <c r="C8" t="inlineStr">
        <is>
          <t>0                      QD 0001000A  355                                                     no. 181</t>
        </is>
      </c>
      <c r="D8" t="inlineStr">
        <is>
          <t>Hydrolysis of cellulose : mechanisms of enzymatic and acid catalysis : based on a symposium jointly sponsored by the ACS Cellulose, Paper, and Textile Division, the Institute of Paper Chemistry, and the Wood Chemistry Committee of TAPPI, at Appleton, Wisconsin, May 17-19, 1978 / R. D. Brown, Jr., editor, L. Jurasek, editor.</t>
        </is>
      </c>
      <c r="E8" t="inlineStr">
        <is>
          <t>no. 181*</t>
        </is>
      </c>
      <c r="F8" t="inlineStr">
        <is>
          <t>No</t>
        </is>
      </c>
      <c r="G8" t="inlineStr">
        <is>
          <t>1</t>
        </is>
      </c>
      <c r="H8" t="inlineStr">
        <is>
          <t>No</t>
        </is>
      </c>
      <c r="I8" t="inlineStr">
        <is>
          <t>No</t>
        </is>
      </c>
      <c r="J8" t="inlineStr">
        <is>
          <t>0</t>
        </is>
      </c>
      <c r="L8" t="inlineStr">
        <is>
          <t>Washington : American Chemical Society, 1979.</t>
        </is>
      </c>
      <c r="M8" t="inlineStr">
        <is>
          <t>1979</t>
        </is>
      </c>
      <c r="O8" t="inlineStr">
        <is>
          <t>eng</t>
        </is>
      </c>
      <c r="P8" t="inlineStr">
        <is>
          <t>dcu</t>
        </is>
      </c>
      <c r="Q8" t="inlineStr">
        <is>
          <t>Advances in chemistry series, 0065-2393 ; 181</t>
        </is>
      </c>
      <c r="R8" t="inlineStr">
        <is>
          <t xml:space="preserve">QD </t>
        </is>
      </c>
      <c r="S8" t="n">
        <v>1</v>
      </c>
      <c r="T8" t="n">
        <v>1</v>
      </c>
      <c r="U8" t="inlineStr">
        <is>
          <t>1998-07-23</t>
        </is>
      </c>
      <c r="V8" t="inlineStr">
        <is>
          <t>1998-07-23</t>
        </is>
      </c>
      <c r="W8" t="inlineStr">
        <is>
          <t>1993-05-14</t>
        </is>
      </c>
      <c r="X8" t="inlineStr">
        <is>
          <t>1993-05-14</t>
        </is>
      </c>
      <c r="Y8" t="n">
        <v>331</v>
      </c>
      <c r="Z8" t="n">
        <v>279</v>
      </c>
      <c r="AA8" t="n">
        <v>318</v>
      </c>
      <c r="AB8" t="n">
        <v>2</v>
      </c>
      <c r="AC8" t="n">
        <v>2</v>
      </c>
      <c r="AD8" t="n">
        <v>11</v>
      </c>
      <c r="AE8" t="n">
        <v>11</v>
      </c>
      <c r="AF8" t="n">
        <v>3</v>
      </c>
      <c r="AG8" t="n">
        <v>3</v>
      </c>
      <c r="AH8" t="n">
        <v>5</v>
      </c>
      <c r="AI8" t="n">
        <v>5</v>
      </c>
      <c r="AJ8" t="n">
        <v>8</v>
      </c>
      <c r="AK8" t="n">
        <v>8</v>
      </c>
      <c r="AL8" t="n">
        <v>1</v>
      </c>
      <c r="AM8" t="n">
        <v>1</v>
      </c>
      <c r="AN8" t="n">
        <v>0</v>
      </c>
      <c r="AO8" t="n">
        <v>0</v>
      </c>
      <c r="AP8" t="inlineStr">
        <is>
          <t>No</t>
        </is>
      </c>
      <c r="AQ8" t="inlineStr">
        <is>
          <t>Yes</t>
        </is>
      </c>
      <c r="AR8">
        <f>HYPERLINK("http://catalog.hathitrust.org/Record/000757220","HathiTrust Record")</f>
        <v/>
      </c>
      <c r="AS8">
        <f>HYPERLINK("https://creighton-primo.hosted.exlibrisgroup.com/primo-explore/search?tab=default_tab&amp;search_scope=EVERYTHING&amp;vid=01CRU&amp;lang=en_US&amp;offset=0&amp;query=any,contains,991005378279702656","Catalog Record")</f>
        <v/>
      </c>
      <c r="AT8">
        <f>HYPERLINK("http://www.worldcat.org/oclc/5352921","WorldCat Record")</f>
        <v/>
      </c>
      <c r="AU8" t="inlineStr">
        <is>
          <t>793135388:eng</t>
        </is>
      </c>
      <c r="AV8" t="inlineStr">
        <is>
          <t>5352921</t>
        </is>
      </c>
      <c r="AW8" t="inlineStr">
        <is>
          <t>991005378279702656</t>
        </is>
      </c>
      <c r="AX8" t="inlineStr">
        <is>
          <t>991005378279702656</t>
        </is>
      </c>
      <c r="AY8" t="inlineStr">
        <is>
          <t>2258026030002656</t>
        </is>
      </c>
      <c r="AZ8" t="inlineStr">
        <is>
          <t>BOOK</t>
        </is>
      </c>
      <c r="BB8" t="inlineStr">
        <is>
          <t>9780841204607</t>
        </is>
      </c>
      <c r="BC8" t="inlineStr">
        <is>
          <t>32285001657237</t>
        </is>
      </c>
      <c r="BD8" t="inlineStr">
        <is>
          <t>893594963</t>
        </is>
      </c>
    </row>
    <row r="9">
      <c r="A9" t="inlineStr">
        <is>
          <t>No</t>
        </is>
      </c>
      <c r="B9" t="inlineStr">
        <is>
          <t>QD1 .A355 no. 182</t>
        </is>
      </c>
      <c r="C9" t="inlineStr">
        <is>
          <t>0                      QD 0001000A  355                                                     no. 182</t>
        </is>
      </c>
      <c r="D9" t="inlineStr">
        <is>
          <t>Equations of state in engineering and research / Kwang Chu Chao, editor, Robert L. Robinson, Jr., editor.</t>
        </is>
      </c>
      <c r="E9" t="inlineStr">
        <is>
          <t>no. 182*</t>
        </is>
      </c>
      <c r="F9" t="inlineStr">
        <is>
          <t>No</t>
        </is>
      </c>
      <c r="G9" t="inlineStr">
        <is>
          <t>1</t>
        </is>
      </c>
      <c r="H9" t="inlineStr">
        <is>
          <t>No</t>
        </is>
      </c>
      <c r="I9" t="inlineStr">
        <is>
          <t>No</t>
        </is>
      </c>
      <c r="J9" t="inlineStr">
        <is>
          <t>0</t>
        </is>
      </c>
      <c r="L9" t="inlineStr">
        <is>
          <t>Washington : American Chemical Society, 1979.</t>
        </is>
      </c>
      <c r="M9" t="inlineStr">
        <is>
          <t>1979</t>
        </is>
      </c>
      <c r="O9" t="inlineStr">
        <is>
          <t>eng</t>
        </is>
      </c>
      <c r="P9" t="inlineStr">
        <is>
          <t>dcu</t>
        </is>
      </c>
      <c r="Q9" t="inlineStr">
        <is>
          <t>Advances in chemistry series, 0065-2393 ; 182</t>
        </is>
      </c>
      <c r="R9" t="inlineStr">
        <is>
          <t xml:space="preserve">QD </t>
        </is>
      </c>
      <c r="S9" t="n">
        <v>7</v>
      </c>
      <c r="T9" t="n">
        <v>7</v>
      </c>
      <c r="U9" t="inlineStr">
        <is>
          <t>2002-03-19</t>
        </is>
      </c>
      <c r="V9" t="inlineStr">
        <is>
          <t>2002-03-19</t>
        </is>
      </c>
      <c r="W9" t="inlineStr">
        <is>
          <t>1993-05-14</t>
        </is>
      </c>
      <c r="X9" t="inlineStr">
        <is>
          <t>1993-05-14</t>
        </is>
      </c>
      <c r="Y9" t="n">
        <v>349</v>
      </c>
      <c r="Z9" t="n">
        <v>266</v>
      </c>
      <c r="AA9" t="n">
        <v>303</v>
      </c>
      <c r="AB9" t="n">
        <v>2</v>
      </c>
      <c r="AC9" t="n">
        <v>2</v>
      </c>
      <c r="AD9" t="n">
        <v>10</v>
      </c>
      <c r="AE9" t="n">
        <v>10</v>
      </c>
      <c r="AF9" t="n">
        <v>2</v>
      </c>
      <c r="AG9" t="n">
        <v>2</v>
      </c>
      <c r="AH9" t="n">
        <v>5</v>
      </c>
      <c r="AI9" t="n">
        <v>5</v>
      </c>
      <c r="AJ9" t="n">
        <v>6</v>
      </c>
      <c r="AK9" t="n">
        <v>6</v>
      </c>
      <c r="AL9" t="n">
        <v>1</v>
      </c>
      <c r="AM9" t="n">
        <v>1</v>
      </c>
      <c r="AN9" t="n">
        <v>0</v>
      </c>
      <c r="AO9" t="n">
        <v>0</v>
      </c>
      <c r="AP9" t="inlineStr">
        <is>
          <t>No</t>
        </is>
      </c>
      <c r="AQ9" t="inlineStr">
        <is>
          <t>Yes</t>
        </is>
      </c>
      <c r="AR9">
        <f>HYPERLINK("http://catalog.hathitrust.org/Record/000033850","HathiTrust Record")</f>
        <v/>
      </c>
      <c r="AS9">
        <f>HYPERLINK("https://creighton-primo.hosted.exlibrisgroup.com/primo-explore/search?tab=default_tab&amp;search_scope=EVERYTHING&amp;vid=01CRU&amp;lang=en_US&amp;offset=0&amp;query=any,contains,991004856599702656","Catalog Record")</f>
        <v/>
      </c>
      <c r="AT9">
        <f>HYPERLINK("http://www.worldcat.org/oclc/5675541","WorldCat Record")</f>
        <v/>
      </c>
      <c r="AU9" t="inlineStr">
        <is>
          <t>549475242:eng</t>
        </is>
      </c>
      <c r="AV9" t="inlineStr">
        <is>
          <t>5675541</t>
        </is>
      </c>
      <c r="AW9" t="inlineStr">
        <is>
          <t>991004856599702656</t>
        </is>
      </c>
      <c r="AX9" t="inlineStr">
        <is>
          <t>991004856599702656</t>
        </is>
      </c>
      <c r="AY9" t="inlineStr">
        <is>
          <t>2260632890002656</t>
        </is>
      </c>
      <c r="AZ9" t="inlineStr">
        <is>
          <t>BOOK</t>
        </is>
      </c>
      <c r="BB9" t="inlineStr">
        <is>
          <t>9780841205000</t>
        </is>
      </c>
      <c r="BC9" t="inlineStr">
        <is>
          <t>32285001657245</t>
        </is>
      </c>
      <c r="BD9" t="inlineStr">
        <is>
          <t>893694416</t>
        </is>
      </c>
    </row>
    <row r="10">
      <c r="A10" t="inlineStr">
        <is>
          <t>No</t>
        </is>
      </c>
      <c r="B10" t="inlineStr">
        <is>
          <t>QD1 .A355 no. 183</t>
        </is>
      </c>
      <c r="C10" t="inlineStr">
        <is>
          <t>0                      QD 0001000A  355                                                     no. 183</t>
        </is>
      </c>
      <c r="D10" t="inlineStr">
        <is>
          <t>Thermal hydrocarbon chemistry / based on a symposium jointly sponsored by the ACS Divisions of Petroleum Chemistry and Fuel Chemistry at the 175th national meeting of the American Chemcial Society, Anaheim, California, March 15-16, 1978 ; Alex G. Oblad, editor, Hugh G. Davis, editor, R. Tracy Eddinger, editor.</t>
        </is>
      </c>
      <c r="E10" t="inlineStr">
        <is>
          <t>no. 183*</t>
        </is>
      </c>
      <c r="F10" t="inlineStr">
        <is>
          <t>No</t>
        </is>
      </c>
      <c r="G10" t="inlineStr">
        <is>
          <t>1</t>
        </is>
      </c>
      <c r="H10" t="inlineStr">
        <is>
          <t>No</t>
        </is>
      </c>
      <c r="I10" t="inlineStr">
        <is>
          <t>No</t>
        </is>
      </c>
      <c r="J10" t="inlineStr">
        <is>
          <t>0</t>
        </is>
      </c>
      <c r="L10" t="inlineStr">
        <is>
          <t>Washington : American Chemical Society, 1979.</t>
        </is>
      </c>
      <c r="M10" t="inlineStr">
        <is>
          <t>1979</t>
        </is>
      </c>
      <c r="O10" t="inlineStr">
        <is>
          <t>eng</t>
        </is>
      </c>
      <c r="P10" t="inlineStr">
        <is>
          <t>dcu</t>
        </is>
      </c>
      <c r="Q10" t="inlineStr">
        <is>
          <t>Advances in chemistry series, 0065-2393 ; 183</t>
        </is>
      </c>
      <c r="R10" t="inlineStr">
        <is>
          <t xml:space="preserve">QD </t>
        </is>
      </c>
      <c r="S10" t="n">
        <v>1</v>
      </c>
      <c r="T10" t="n">
        <v>1</v>
      </c>
      <c r="U10" t="inlineStr">
        <is>
          <t>1998-07-23</t>
        </is>
      </c>
      <c r="V10" t="inlineStr">
        <is>
          <t>1998-07-23</t>
        </is>
      </c>
      <c r="W10" t="inlineStr">
        <is>
          <t>1993-05-14</t>
        </is>
      </c>
      <c r="X10" t="inlineStr">
        <is>
          <t>1993-05-14</t>
        </is>
      </c>
      <c r="Y10" t="n">
        <v>351</v>
      </c>
      <c r="Z10" t="n">
        <v>277</v>
      </c>
      <c r="AA10" t="n">
        <v>316</v>
      </c>
      <c r="AB10" t="n">
        <v>2</v>
      </c>
      <c r="AC10" t="n">
        <v>2</v>
      </c>
      <c r="AD10" t="n">
        <v>9</v>
      </c>
      <c r="AE10" t="n">
        <v>9</v>
      </c>
      <c r="AF10" t="n">
        <v>2</v>
      </c>
      <c r="AG10" t="n">
        <v>2</v>
      </c>
      <c r="AH10" t="n">
        <v>4</v>
      </c>
      <c r="AI10" t="n">
        <v>4</v>
      </c>
      <c r="AJ10" t="n">
        <v>5</v>
      </c>
      <c r="AK10" t="n">
        <v>5</v>
      </c>
      <c r="AL10" t="n">
        <v>1</v>
      </c>
      <c r="AM10" t="n">
        <v>1</v>
      </c>
      <c r="AN10" t="n">
        <v>0</v>
      </c>
      <c r="AO10" t="n">
        <v>0</v>
      </c>
      <c r="AP10" t="inlineStr">
        <is>
          <t>No</t>
        </is>
      </c>
      <c r="AQ10" t="inlineStr">
        <is>
          <t>Yes</t>
        </is>
      </c>
      <c r="AR10">
        <f>HYPERLINK("http://catalog.hathitrust.org/Record/000036916","HathiTrust Record")</f>
        <v/>
      </c>
      <c r="AS10">
        <f>HYPERLINK("https://creighton-primo.hosted.exlibrisgroup.com/primo-explore/search?tab=default_tab&amp;search_scope=EVERYTHING&amp;vid=01CRU&amp;lang=en_US&amp;offset=0&amp;query=any,contains,991005378379702656","Catalog Record")</f>
        <v/>
      </c>
      <c r="AT10">
        <f>HYPERLINK("http://www.worldcat.org/oclc/5564548","WorldCat Record")</f>
        <v/>
      </c>
      <c r="AU10" t="inlineStr">
        <is>
          <t>18429697:eng</t>
        </is>
      </c>
      <c r="AV10" t="inlineStr">
        <is>
          <t>5564548</t>
        </is>
      </c>
      <c r="AW10" t="inlineStr">
        <is>
          <t>991005378379702656</t>
        </is>
      </c>
      <c r="AX10" t="inlineStr">
        <is>
          <t>991005378379702656</t>
        </is>
      </c>
      <c r="AY10" t="inlineStr">
        <is>
          <t>2268800660002656</t>
        </is>
      </c>
      <c r="AZ10" t="inlineStr">
        <is>
          <t>BOOK</t>
        </is>
      </c>
      <c r="BB10" t="inlineStr">
        <is>
          <t>9780841204683</t>
        </is>
      </c>
      <c r="BC10" t="inlineStr">
        <is>
          <t>32285001657252</t>
        </is>
      </c>
      <c r="BD10" t="inlineStr">
        <is>
          <t>893230612</t>
        </is>
      </c>
    </row>
    <row r="11">
      <c r="A11" t="inlineStr">
        <is>
          <t>No</t>
        </is>
      </c>
      <c r="B11" t="inlineStr">
        <is>
          <t>QD1 .A355 no. 184</t>
        </is>
      </c>
      <c r="C11" t="inlineStr">
        <is>
          <t>0                      QD 0001000A  355                                                     no. 184</t>
        </is>
      </c>
      <c r="D11" t="inlineStr">
        <is>
          <t>Interfacial photoprocesses : energy conversion and synthesis : based on a symposium sponsored by the Division of Colloid and Surface Chemistry at the 176th meeting of the American Chemical Society, Miami Beach, Florida, September 11-13, 1978 / Mark S. Wrighton, editor.</t>
        </is>
      </c>
      <c r="E11" t="inlineStr">
        <is>
          <t>no. 184*</t>
        </is>
      </c>
      <c r="F11" t="inlineStr">
        <is>
          <t>No</t>
        </is>
      </c>
      <c r="G11" t="inlineStr">
        <is>
          <t>1</t>
        </is>
      </c>
      <c r="H11" t="inlineStr">
        <is>
          <t>No</t>
        </is>
      </c>
      <c r="I11" t="inlineStr">
        <is>
          <t>No</t>
        </is>
      </c>
      <c r="J11" t="inlineStr">
        <is>
          <t>0</t>
        </is>
      </c>
      <c r="L11" t="inlineStr">
        <is>
          <t>Washington : The Society, 1980.</t>
        </is>
      </c>
      <c r="M11" t="inlineStr">
        <is>
          <t>1980</t>
        </is>
      </c>
      <c r="O11" t="inlineStr">
        <is>
          <t>eng</t>
        </is>
      </c>
      <c r="P11" t="inlineStr">
        <is>
          <t>dcu</t>
        </is>
      </c>
      <c r="Q11" t="inlineStr">
        <is>
          <t>Advances in chemistry series, 0065-2393 ; 184</t>
        </is>
      </c>
      <c r="R11" t="inlineStr">
        <is>
          <t xml:space="preserve">QD </t>
        </is>
      </c>
      <c r="S11" t="n">
        <v>1</v>
      </c>
      <c r="T11" t="n">
        <v>1</v>
      </c>
      <c r="U11" t="inlineStr">
        <is>
          <t>1998-07-23</t>
        </is>
      </c>
      <c r="V11" t="inlineStr">
        <is>
          <t>1998-07-23</t>
        </is>
      </c>
      <c r="W11" t="inlineStr">
        <is>
          <t>1993-05-14</t>
        </is>
      </c>
      <c r="X11" t="inlineStr">
        <is>
          <t>1993-05-14</t>
        </is>
      </c>
      <c r="Y11" t="n">
        <v>364</v>
      </c>
      <c r="Z11" t="n">
        <v>285</v>
      </c>
      <c r="AA11" t="n">
        <v>322</v>
      </c>
      <c r="AB11" t="n">
        <v>2</v>
      </c>
      <c r="AC11" t="n">
        <v>2</v>
      </c>
      <c r="AD11" t="n">
        <v>10</v>
      </c>
      <c r="AE11" t="n">
        <v>11</v>
      </c>
      <c r="AF11" t="n">
        <v>3</v>
      </c>
      <c r="AG11" t="n">
        <v>3</v>
      </c>
      <c r="AH11" t="n">
        <v>3</v>
      </c>
      <c r="AI11" t="n">
        <v>4</v>
      </c>
      <c r="AJ11" t="n">
        <v>7</v>
      </c>
      <c r="AK11" t="n">
        <v>8</v>
      </c>
      <c r="AL11" t="n">
        <v>1</v>
      </c>
      <c r="AM11" t="n">
        <v>1</v>
      </c>
      <c r="AN11" t="n">
        <v>0</v>
      </c>
      <c r="AO11" t="n">
        <v>0</v>
      </c>
      <c r="AP11" t="inlineStr">
        <is>
          <t>No</t>
        </is>
      </c>
      <c r="AQ11" t="inlineStr">
        <is>
          <t>Yes</t>
        </is>
      </c>
      <c r="AR11">
        <f>HYPERLINK("http://catalog.hathitrust.org/Record/000041470","HathiTrust Record")</f>
        <v/>
      </c>
      <c r="AS11">
        <f>HYPERLINK("https://creighton-primo.hosted.exlibrisgroup.com/primo-explore/search?tab=default_tab&amp;search_scope=EVERYTHING&amp;vid=01CRU&amp;lang=en_US&amp;offset=0&amp;query=any,contains,991005378439702656","Catalog Record")</f>
        <v/>
      </c>
      <c r="AT11">
        <f>HYPERLINK("http://www.worldcat.org/oclc/5677008","WorldCat Record")</f>
        <v/>
      </c>
      <c r="AU11" t="inlineStr">
        <is>
          <t>808646302:eng</t>
        </is>
      </c>
      <c r="AV11" t="inlineStr">
        <is>
          <t>5677008</t>
        </is>
      </c>
      <c r="AW11" t="inlineStr">
        <is>
          <t>991005378439702656</t>
        </is>
      </c>
      <c r="AX11" t="inlineStr">
        <is>
          <t>991005378439702656</t>
        </is>
      </c>
      <c r="AY11" t="inlineStr">
        <is>
          <t>2261549910002656</t>
        </is>
      </c>
      <c r="AZ11" t="inlineStr">
        <is>
          <t>BOOK</t>
        </is>
      </c>
      <c r="BB11" t="inlineStr">
        <is>
          <t>9780841204744</t>
        </is>
      </c>
      <c r="BC11" t="inlineStr">
        <is>
          <t>32285001657260</t>
        </is>
      </c>
      <c r="BD11" t="inlineStr">
        <is>
          <t>893777389</t>
        </is>
      </c>
    </row>
    <row r="12">
      <c r="A12" t="inlineStr">
        <is>
          <t>No</t>
        </is>
      </c>
      <c r="B12" t="inlineStr">
        <is>
          <t>QD1 .A355 no. 185</t>
        </is>
      </c>
      <c r="C12" t="inlineStr">
        <is>
          <t>0                      QD 0001000A  355                                                     no. 185</t>
        </is>
      </c>
      <c r="D12" t="inlineStr">
        <is>
          <t>Petroleum in the marine environment : a symposium / jointly sponsored by the Divisions of Petroleum and Analytical Chemistry at the 176th meeting of the American Chemical Society, Miami Beach, Florida, September 13-14, 1978 ; Leonidas Petrakis, editor, Fred T. Weiss, editor.</t>
        </is>
      </c>
      <c r="E12" t="inlineStr">
        <is>
          <t>no. 185*</t>
        </is>
      </c>
      <c r="F12" t="inlineStr">
        <is>
          <t>No</t>
        </is>
      </c>
      <c r="G12" t="inlineStr">
        <is>
          <t>1</t>
        </is>
      </c>
      <c r="H12" t="inlineStr">
        <is>
          <t>No</t>
        </is>
      </c>
      <c r="I12" t="inlineStr">
        <is>
          <t>No</t>
        </is>
      </c>
      <c r="J12" t="inlineStr">
        <is>
          <t>0</t>
        </is>
      </c>
      <c r="L12" t="inlineStr">
        <is>
          <t>Washington, D.C. : American Chemical Society, 1980.</t>
        </is>
      </c>
      <c r="M12" t="inlineStr">
        <is>
          <t>1980</t>
        </is>
      </c>
      <c r="O12" t="inlineStr">
        <is>
          <t>eng</t>
        </is>
      </c>
      <c r="P12" t="inlineStr">
        <is>
          <t>dcu</t>
        </is>
      </c>
      <c r="Q12" t="inlineStr">
        <is>
          <t>Advances in chemistry series, 0065-2393 ; 185</t>
        </is>
      </c>
      <c r="R12" t="inlineStr">
        <is>
          <t xml:space="preserve">QD </t>
        </is>
      </c>
      <c r="S12" t="n">
        <v>7</v>
      </c>
      <c r="T12" t="n">
        <v>7</v>
      </c>
      <c r="U12" t="inlineStr">
        <is>
          <t>1998-07-23</t>
        </is>
      </c>
      <c r="V12" t="inlineStr">
        <is>
          <t>1998-07-23</t>
        </is>
      </c>
      <c r="W12" t="inlineStr">
        <is>
          <t>1993-05-14</t>
        </is>
      </c>
      <c r="X12" t="inlineStr">
        <is>
          <t>1993-05-14</t>
        </is>
      </c>
      <c r="Y12" t="n">
        <v>405</v>
      </c>
      <c r="Z12" t="n">
        <v>323</v>
      </c>
      <c r="AA12" t="n">
        <v>358</v>
      </c>
      <c r="AB12" t="n">
        <v>2</v>
      </c>
      <c r="AC12" t="n">
        <v>2</v>
      </c>
      <c r="AD12" t="n">
        <v>12</v>
      </c>
      <c r="AE12" t="n">
        <v>12</v>
      </c>
      <c r="AF12" t="n">
        <v>3</v>
      </c>
      <c r="AG12" t="n">
        <v>3</v>
      </c>
      <c r="AH12" t="n">
        <v>5</v>
      </c>
      <c r="AI12" t="n">
        <v>5</v>
      </c>
      <c r="AJ12" t="n">
        <v>8</v>
      </c>
      <c r="AK12" t="n">
        <v>8</v>
      </c>
      <c r="AL12" t="n">
        <v>1</v>
      </c>
      <c r="AM12" t="n">
        <v>1</v>
      </c>
      <c r="AN12" t="n">
        <v>0</v>
      </c>
      <c r="AO12" t="n">
        <v>0</v>
      </c>
      <c r="AP12" t="inlineStr">
        <is>
          <t>No</t>
        </is>
      </c>
      <c r="AQ12" t="inlineStr">
        <is>
          <t>Yes</t>
        </is>
      </c>
      <c r="AR12">
        <f>HYPERLINK("http://catalog.hathitrust.org/Record/000719812","HathiTrust Record")</f>
        <v/>
      </c>
      <c r="AS12">
        <f>HYPERLINK("https://creighton-primo.hosted.exlibrisgroup.com/primo-explore/search?tab=default_tab&amp;search_scope=EVERYTHING&amp;vid=01CRU&amp;lang=en_US&amp;offset=0&amp;query=any,contains,991005378929702656","Catalog Record")</f>
        <v/>
      </c>
      <c r="AT12">
        <f>HYPERLINK("http://www.worldcat.org/oclc/5830497","WorldCat Record")</f>
        <v/>
      </c>
      <c r="AU12" t="inlineStr">
        <is>
          <t>806763019:eng</t>
        </is>
      </c>
      <c r="AV12" t="inlineStr">
        <is>
          <t>5830497</t>
        </is>
      </c>
      <c r="AW12" t="inlineStr">
        <is>
          <t>991005378929702656</t>
        </is>
      </c>
      <c r="AX12" t="inlineStr">
        <is>
          <t>991005378929702656</t>
        </is>
      </c>
      <c r="AY12" t="inlineStr">
        <is>
          <t>2263930400002656</t>
        </is>
      </c>
      <c r="AZ12" t="inlineStr">
        <is>
          <t>BOOK</t>
        </is>
      </c>
      <c r="BB12" t="inlineStr">
        <is>
          <t>9780841204751</t>
        </is>
      </c>
      <c r="BC12" t="inlineStr">
        <is>
          <t>32285001657278</t>
        </is>
      </c>
      <c r="BD12" t="inlineStr">
        <is>
          <t>893351186</t>
        </is>
      </c>
    </row>
    <row r="13">
      <c r="A13" t="inlineStr">
        <is>
          <t>No</t>
        </is>
      </c>
      <c r="B13" t="inlineStr">
        <is>
          <t>QD1 .A355 no. 187</t>
        </is>
      </c>
      <c r="C13" t="inlineStr">
        <is>
          <t>0                      QD 0001000A  355                                                     no. 187</t>
        </is>
      </c>
      <c r="D13" t="inlineStr">
        <is>
          <t>Ions in polymers : based on a symposium sponsored by the Division of Polymer Chemistry at the 176th meeting of the American Chemical Society, Miami Beach, Florida, September 11-15, 1978 / Adi Eisenberg, editor.</t>
        </is>
      </c>
      <c r="E13" t="inlineStr">
        <is>
          <t>no. 187*</t>
        </is>
      </c>
      <c r="F13" t="inlineStr">
        <is>
          <t>No</t>
        </is>
      </c>
      <c r="G13" t="inlineStr">
        <is>
          <t>1</t>
        </is>
      </c>
      <c r="H13" t="inlineStr">
        <is>
          <t>No</t>
        </is>
      </c>
      <c r="I13" t="inlineStr">
        <is>
          <t>No</t>
        </is>
      </c>
      <c r="J13" t="inlineStr">
        <is>
          <t>0</t>
        </is>
      </c>
      <c r="L13" t="inlineStr">
        <is>
          <t>Washington, D.C. : American Chemical Society, 1980.</t>
        </is>
      </c>
      <c r="M13" t="inlineStr">
        <is>
          <t>1980</t>
        </is>
      </c>
      <c r="O13" t="inlineStr">
        <is>
          <t>eng</t>
        </is>
      </c>
      <c r="P13" t="inlineStr">
        <is>
          <t>dcu</t>
        </is>
      </c>
      <c r="Q13" t="inlineStr">
        <is>
          <t>Advances in chemistry series, 0065-2393 ; 187</t>
        </is>
      </c>
      <c r="R13" t="inlineStr">
        <is>
          <t xml:space="preserve">QD </t>
        </is>
      </c>
      <c r="S13" t="n">
        <v>1</v>
      </c>
      <c r="T13" t="n">
        <v>1</v>
      </c>
      <c r="U13" t="inlineStr">
        <is>
          <t>1998-07-23</t>
        </is>
      </c>
      <c r="V13" t="inlineStr">
        <is>
          <t>1998-07-23</t>
        </is>
      </c>
      <c r="W13" t="inlineStr">
        <is>
          <t>1993-05-14</t>
        </is>
      </c>
      <c r="X13" t="inlineStr">
        <is>
          <t>1993-05-14</t>
        </is>
      </c>
      <c r="Y13" t="n">
        <v>41</v>
      </c>
      <c r="Z13" t="n">
        <v>32</v>
      </c>
      <c r="AA13" t="n">
        <v>313</v>
      </c>
      <c r="AB13" t="n">
        <v>1</v>
      </c>
      <c r="AC13" t="n">
        <v>2</v>
      </c>
      <c r="AD13" t="n">
        <v>0</v>
      </c>
      <c r="AE13" t="n">
        <v>7</v>
      </c>
      <c r="AF13" t="n">
        <v>0</v>
      </c>
      <c r="AG13" t="n">
        <v>1</v>
      </c>
      <c r="AH13" t="n">
        <v>0</v>
      </c>
      <c r="AI13" t="n">
        <v>4</v>
      </c>
      <c r="AJ13" t="n">
        <v>0</v>
      </c>
      <c r="AK13" t="n">
        <v>4</v>
      </c>
      <c r="AL13" t="n">
        <v>0</v>
      </c>
      <c r="AM13" t="n">
        <v>1</v>
      </c>
      <c r="AN13" t="n">
        <v>0</v>
      </c>
      <c r="AO13" t="n">
        <v>0</v>
      </c>
      <c r="AP13" t="inlineStr">
        <is>
          <t>No</t>
        </is>
      </c>
      <c r="AQ13" t="inlineStr">
        <is>
          <t>No</t>
        </is>
      </c>
      <c r="AS13">
        <f>HYPERLINK("https://creighton-primo.hosted.exlibrisgroup.com/primo-explore/search?tab=default_tab&amp;search_scope=EVERYTHING&amp;vid=01CRU&amp;lang=en_US&amp;offset=0&amp;query=any,contains,991005383949702656","Catalog Record")</f>
        <v/>
      </c>
      <c r="AT13">
        <f>HYPERLINK("http://www.worldcat.org/oclc/6581508","WorldCat Record")</f>
        <v/>
      </c>
      <c r="AU13" t="inlineStr">
        <is>
          <t>808263988:eng</t>
        </is>
      </c>
      <c r="AV13" t="inlineStr">
        <is>
          <t>6581508</t>
        </is>
      </c>
      <c r="AW13" t="inlineStr">
        <is>
          <t>991005383949702656</t>
        </is>
      </c>
      <c r="AX13" t="inlineStr">
        <is>
          <t>991005383949702656</t>
        </is>
      </c>
      <c r="AY13" t="inlineStr">
        <is>
          <t>2258198530002656</t>
        </is>
      </c>
      <c r="AZ13" t="inlineStr">
        <is>
          <t>BOOK</t>
        </is>
      </c>
      <c r="BB13" t="inlineStr">
        <is>
          <t>9780841204829</t>
        </is>
      </c>
      <c r="BC13" t="inlineStr">
        <is>
          <t>32285001657294</t>
        </is>
      </c>
      <c r="BD13" t="inlineStr">
        <is>
          <t>893905427</t>
        </is>
      </c>
    </row>
    <row r="14">
      <c r="A14" t="inlineStr">
        <is>
          <t>No</t>
        </is>
      </c>
      <c r="B14" t="inlineStr">
        <is>
          <t>QD1 .A355 no. 188</t>
        </is>
      </c>
      <c r="C14" t="inlineStr">
        <is>
          <t>0                      QD 0001000A  355                                                     no. 188</t>
        </is>
      </c>
      <c r="D14" t="inlineStr">
        <is>
          <t>Bioelectrochemistry : ions, surfaces, membranes : based on a symposum sponsored by the Division of Colloid and Surface Chemistry at the 176th meeting of the American Chemical Society in Miami Beach, Florida, September 11-14, 1978 / Martin Blank, editor.</t>
        </is>
      </c>
      <c r="E14" t="inlineStr">
        <is>
          <t>no. 188*</t>
        </is>
      </c>
      <c r="F14" t="inlineStr">
        <is>
          <t>No</t>
        </is>
      </c>
      <c r="G14" t="inlineStr">
        <is>
          <t>1</t>
        </is>
      </c>
      <c r="H14" t="inlineStr">
        <is>
          <t>No</t>
        </is>
      </c>
      <c r="I14" t="inlineStr">
        <is>
          <t>No</t>
        </is>
      </c>
      <c r="J14" t="inlineStr">
        <is>
          <t>0</t>
        </is>
      </c>
      <c r="L14" t="inlineStr">
        <is>
          <t>Washington, D.C. : The Society, 1980.</t>
        </is>
      </c>
      <c r="M14" t="inlineStr">
        <is>
          <t>1980</t>
        </is>
      </c>
      <c r="O14" t="inlineStr">
        <is>
          <t>eng</t>
        </is>
      </c>
      <c r="P14" t="inlineStr">
        <is>
          <t>dcu</t>
        </is>
      </c>
      <c r="Q14" t="inlineStr">
        <is>
          <t>Advances in chemistry series, 0065-2393 ; 188</t>
        </is>
      </c>
      <c r="R14" t="inlineStr">
        <is>
          <t xml:space="preserve">QD </t>
        </is>
      </c>
      <c r="S14" t="n">
        <v>1</v>
      </c>
      <c r="T14" t="n">
        <v>1</v>
      </c>
      <c r="U14" t="inlineStr">
        <is>
          <t>1998-07-23</t>
        </is>
      </c>
      <c r="V14" t="inlineStr">
        <is>
          <t>1998-07-23</t>
        </is>
      </c>
      <c r="W14" t="inlineStr">
        <is>
          <t>1993-05-14</t>
        </is>
      </c>
      <c r="X14" t="inlineStr">
        <is>
          <t>1993-05-14</t>
        </is>
      </c>
      <c r="Y14" t="n">
        <v>341</v>
      </c>
      <c r="Z14" t="n">
        <v>280</v>
      </c>
      <c r="AA14" t="n">
        <v>320</v>
      </c>
      <c r="AB14" t="n">
        <v>2</v>
      </c>
      <c r="AC14" t="n">
        <v>2</v>
      </c>
      <c r="AD14" t="n">
        <v>13</v>
      </c>
      <c r="AE14" t="n">
        <v>13</v>
      </c>
      <c r="AF14" t="n">
        <v>5</v>
      </c>
      <c r="AG14" t="n">
        <v>5</v>
      </c>
      <c r="AH14" t="n">
        <v>5</v>
      </c>
      <c r="AI14" t="n">
        <v>5</v>
      </c>
      <c r="AJ14" t="n">
        <v>8</v>
      </c>
      <c r="AK14" t="n">
        <v>8</v>
      </c>
      <c r="AL14" t="n">
        <v>1</v>
      </c>
      <c r="AM14" t="n">
        <v>1</v>
      </c>
      <c r="AN14" t="n">
        <v>0</v>
      </c>
      <c r="AO14" t="n">
        <v>0</v>
      </c>
      <c r="AP14" t="inlineStr">
        <is>
          <t>No</t>
        </is>
      </c>
      <c r="AQ14" t="inlineStr">
        <is>
          <t>Yes</t>
        </is>
      </c>
      <c r="AR14">
        <f>HYPERLINK("http://catalog.hathitrust.org/Record/000718025","HathiTrust Record")</f>
        <v/>
      </c>
      <c r="AS14">
        <f>HYPERLINK("https://creighton-primo.hosted.exlibrisgroup.com/primo-explore/search?tab=default_tab&amp;search_scope=EVERYTHING&amp;vid=01CRU&amp;lang=en_US&amp;offset=0&amp;query=any,contains,991005382839702656","Catalog Record")</f>
        <v/>
      </c>
      <c r="AT14">
        <f>HYPERLINK("http://www.worldcat.org/oclc/6447092","WorldCat Record")</f>
        <v/>
      </c>
      <c r="AU14" t="inlineStr">
        <is>
          <t>3856945748:eng</t>
        </is>
      </c>
      <c r="AV14" t="inlineStr">
        <is>
          <t>6447092</t>
        </is>
      </c>
      <c r="AW14" t="inlineStr">
        <is>
          <t>991005382839702656</t>
        </is>
      </c>
      <c r="AX14" t="inlineStr">
        <is>
          <t>991005382839702656</t>
        </is>
      </c>
      <c r="AY14" t="inlineStr">
        <is>
          <t>2255583560002656</t>
        </is>
      </c>
      <c r="AZ14" t="inlineStr">
        <is>
          <t>BOOK</t>
        </is>
      </c>
      <c r="BC14" t="inlineStr">
        <is>
          <t>32285001657302</t>
        </is>
      </c>
      <c r="BD14" t="inlineStr">
        <is>
          <t>893345117</t>
        </is>
      </c>
    </row>
    <row r="15">
      <c r="A15" t="inlineStr">
        <is>
          <t>No</t>
        </is>
      </c>
      <c r="B15" t="inlineStr">
        <is>
          <t>QD1 .A355 no. 189</t>
        </is>
      </c>
      <c r="C15" t="inlineStr">
        <is>
          <t>0                      QD 0001000A  355                                                     no. 189</t>
        </is>
      </c>
      <c r="D15" t="inlineStr">
        <is>
          <t>Particulates in water : characterization, fate, effects, and removal / Michael C. Kavanaugh, editor, James O. Leckie, editor.</t>
        </is>
      </c>
      <c r="E15" t="inlineStr">
        <is>
          <t>no. 189*</t>
        </is>
      </c>
      <c r="F15" t="inlineStr">
        <is>
          <t>No</t>
        </is>
      </c>
      <c r="G15" t="inlineStr">
        <is>
          <t>1</t>
        </is>
      </c>
      <c r="H15" t="inlineStr">
        <is>
          <t>No</t>
        </is>
      </c>
      <c r="I15" t="inlineStr">
        <is>
          <t>No</t>
        </is>
      </c>
      <c r="J15" t="inlineStr">
        <is>
          <t>0</t>
        </is>
      </c>
      <c r="L15" t="inlineStr">
        <is>
          <t>Washington, D.C. : American Chemical Society, 1980.</t>
        </is>
      </c>
      <c r="M15" t="inlineStr">
        <is>
          <t>1980</t>
        </is>
      </c>
      <c r="O15" t="inlineStr">
        <is>
          <t>eng</t>
        </is>
      </c>
      <c r="P15" t="inlineStr">
        <is>
          <t>dcu</t>
        </is>
      </c>
      <c r="Q15" t="inlineStr">
        <is>
          <t>Advances in chemistry series, 0065-2393 ; 189</t>
        </is>
      </c>
      <c r="R15" t="inlineStr">
        <is>
          <t xml:space="preserve">QD </t>
        </is>
      </c>
      <c r="S15" t="n">
        <v>2</v>
      </c>
      <c r="T15" t="n">
        <v>2</v>
      </c>
      <c r="U15" t="inlineStr">
        <is>
          <t>1998-07-23</t>
        </is>
      </c>
      <c r="V15" t="inlineStr">
        <is>
          <t>1998-07-23</t>
        </is>
      </c>
      <c r="W15" t="inlineStr">
        <is>
          <t>1993-05-14</t>
        </is>
      </c>
      <c r="X15" t="inlineStr">
        <is>
          <t>1993-05-14</t>
        </is>
      </c>
      <c r="Y15" t="n">
        <v>390</v>
      </c>
      <c r="Z15" t="n">
        <v>302</v>
      </c>
      <c r="AA15" t="n">
        <v>341</v>
      </c>
      <c r="AB15" t="n">
        <v>2</v>
      </c>
      <c r="AC15" t="n">
        <v>2</v>
      </c>
      <c r="AD15" t="n">
        <v>9</v>
      </c>
      <c r="AE15" t="n">
        <v>9</v>
      </c>
      <c r="AF15" t="n">
        <v>2</v>
      </c>
      <c r="AG15" t="n">
        <v>2</v>
      </c>
      <c r="AH15" t="n">
        <v>4</v>
      </c>
      <c r="AI15" t="n">
        <v>4</v>
      </c>
      <c r="AJ15" t="n">
        <v>6</v>
      </c>
      <c r="AK15" t="n">
        <v>6</v>
      </c>
      <c r="AL15" t="n">
        <v>1</v>
      </c>
      <c r="AM15" t="n">
        <v>1</v>
      </c>
      <c r="AN15" t="n">
        <v>0</v>
      </c>
      <c r="AO15" t="n">
        <v>0</v>
      </c>
      <c r="AP15" t="inlineStr">
        <is>
          <t>No</t>
        </is>
      </c>
      <c r="AQ15" t="inlineStr">
        <is>
          <t>Yes</t>
        </is>
      </c>
      <c r="AR15">
        <f>HYPERLINK("http://catalog.hathitrust.org/Record/000697397","HathiTrust Record")</f>
        <v/>
      </c>
      <c r="AS15">
        <f>HYPERLINK("https://creighton-primo.hosted.exlibrisgroup.com/primo-explore/search?tab=default_tab&amp;search_scope=EVERYTHING&amp;vid=01CRU&amp;lang=en_US&amp;offset=0&amp;query=any,contains,991005383699702656","Catalog Record")</f>
        <v/>
      </c>
      <c r="AT15">
        <f>HYPERLINK("http://www.worldcat.org/oclc/6555297","WorldCat Record")</f>
        <v/>
      </c>
      <c r="AU15" t="inlineStr">
        <is>
          <t>793134847:eng</t>
        </is>
      </c>
      <c r="AV15" t="inlineStr">
        <is>
          <t>6555297</t>
        </is>
      </c>
      <c r="AW15" t="inlineStr">
        <is>
          <t>991005383699702656</t>
        </is>
      </c>
      <c r="AX15" t="inlineStr">
        <is>
          <t>991005383699702656</t>
        </is>
      </c>
      <c r="AY15" t="inlineStr">
        <is>
          <t>2254969100002656</t>
        </is>
      </c>
      <c r="AZ15" t="inlineStr">
        <is>
          <t>BOOK</t>
        </is>
      </c>
      <c r="BB15" t="inlineStr">
        <is>
          <t>9780841204997</t>
        </is>
      </c>
      <c r="BC15" t="inlineStr">
        <is>
          <t>32285001657310</t>
        </is>
      </c>
      <c r="BD15" t="inlineStr">
        <is>
          <t>893533746</t>
        </is>
      </c>
    </row>
    <row r="16">
      <c r="A16" t="inlineStr">
        <is>
          <t>No</t>
        </is>
      </c>
      <c r="B16" t="inlineStr">
        <is>
          <t>QD1 .A355 no. 190</t>
        </is>
      </c>
      <c r="C16" t="inlineStr">
        <is>
          <t>0                      QD 0001000A  355                                                     no. 190</t>
        </is>
      </c>
      <c r="D16" t="inlineStr">
        <is>
          <t>History of chemical engineering : based on a symposium cosponsored by the ACS Divisions of History of Chemistry and Industrial and Engineering Chemistry at the ACS/CSJ Chemical Congress, Honolulu, Hawaii, April 2-6, 1979 / William F. Furter, editor.</t>
        </is>
      </c>
      <c r="E16" t="inlineStr">
        <is>
          <t>no. 190*</t>
        </is>
      </c>
      <c r="F16" t="inlineStr">
        <is>
          <t>No</t>
        </is>
      </c>
      <c r="G16" t="inlineStr">
        <is>
          <t>1</t>
        </is>
      </c>
      <c r="H16" t="inlineStr">
        <is>
          <t>No</t>
        </is>
      </c>
      <c r="I16" t="inlineStr">
        <is>
          <t>No</t>
        </is>
      </c>
      <c r="J16" t="inlineStr">
        <is>
          <t>0</t>
        </is>
      </c>
      <c r="L16" t="inlineStr">
        <is>
          <t>Washington, D.C. : American Chemical Society, 1980.</t>
        </is>
      </c>
      <c r="M16" t="inlineStr">
        <is>
          <t>1980</t>
        </is>
      </c>
      <c r="O16" t="inlineStr">
        <is>
          <t>eng</t>
        </is>
      </c>
      <c r="P16" t="inlineStr">
        <is>
          <t>dcu</t>
        </is>
      </c>
      <c r="Q16" t="inlineStr">
        <is>
          <t>Advances in chemistry series, 0065-2393 ; 190</t>
        </is>
      </c>
      <c r="R16" t="inlineStr">
        <is>
          <t xml:space="preserve">QD </t>
        </is>
      </c>
      <c r="S16" t="n">
        <v>1</v>
      </c>
      <c r="T16" t="n">
        <v>1</v>
      </c>
      <c r="U16" t="inlineStr">
        <is>
          <t>1998-07-23</t>
        </is>
      </c>
      <c r="V16" t="inlineStr">
        <is>
          <t>1998-07-23</t>
        </is>
      </c>
      <c r="W16" t="inlineStr">
        <is>
          <t>1993-05-14</t>
        </is>
      </c>
      <c r="X16" t="inlineStr">
        <is>
          <t>1993-05-14</t>
        </is>
      </c>
      <c r="Y16" t="n">
        <v>427</v>
      </c>
      <c r="Z16" t="n">
        <v>319</v>
      </c>
      <c r="AA16" t="n">
        <v>358</v>
      </c>
      <c r="AB16" t="n">
        <v>3</v>
      </c>
      <c r="AC16" t="n">
        <v>3</v>
      </c>
      <c r="AD16" t="n">
        <v>14</v>
      </c>
      <c r="AE16" t="n">
        <v>14</v>
      </c>
      <c r="AF16" t="n">
        <v>5</v>
      </c>
      <c r="AG16" t="n">
        <v>5</v>
      </c>
      <c r="AH16" t="n">
        <v>5</v>
      </c>
      <c r="AI16" t="n">
        <v>5</v>
      </c>
      <c r="AJ16" t="n">
        <v>8</v>
      </c>
      <c r="AK16" t="n">
        <v>8</v>
      </c>
      <c r="AL16" t="n">
        <v>2</v>
      </c>
      <c r="AM16" t="n">
        <v>2</v>
      </c>
      <c r="AN16" t="n">
        <v>0</v>
      </c>
      <c r="AO16" t="n">
        <v>0</v>
      </c>
      <c r="AP16" t="inlineStr">
        <is>
          <t>No</t>
        </is>
      </c>
      <c r="AQ16" t="inlineStr">
        <is>
          <t>Yes</t>
        </is>
      </c>
      <c r="AR16">
        <f>HYPERLINK("http://catalog.hathitrust.org/Record/000716562","HathiTrust Record")</f>
        <v/>
      </c>
      <c r="AS16">
        <f>HYPERLINK("https://creighton-primo.hosted.exlibrisgroup.com/primo-explore/search?tab=default_tab&amp;search_scope=EVERYTHING&amp;vid=01CRU&amp;lang=en_US&amp;offset=0&amp;query=any,contains,991005382619702656","Catalog Record")</f>
        <v/>
      </c>
      <c r="AT16">
        <f>HYPERLINK("http://www.worldcat.org/oclc/6422409","WorldCat Record")</f>
        <v/>
      </c>
      <c r="AU16" t="inlineStr">
        <is>
          <t>808167418:eng</t>
        </is>
      </c>
      <c r="AV16" t="inlineStr">
        <is>
          <t>6422409</t>
        </is>
      </c>
      <c r="AW16" t="inlineStr">
        <is>
          <t>991005382619702656</t>
        </is>
      </c>
      <c r="AX16" t="inlineStr">
        <is>
          <t>991005382619702656</t>
        </is>
      </c>
      <c r="AY16" t="inlineStr">
        <is>
          <t>2268908240002656</t>
        </is>
      </c>
      <c r="AZ16" t="inlineStr">
        <is>
          <t>BOOK</t>
        </is>
      </c>
      <c r="BB16" t="inlineStr">
        <is>
          <t>9780841205123</t>
        </is>
      </c>
      <c r="BC16" t="inlineStr">
        <is>
          <t>32285001657328</t>
        </is>
      </c>
      <c r="BD16" t="inlineStr">
        <is>
          <t>893607312</t>
        </is>
      </c>
    </row>
    <row r="17">
      <c r="A17" t="inlineStr">
        <is>
          <t>No</t>
        </is>
      </c>
      <c r="B17" t="inlineStr">
        <is>
          <t>QD1 .A355 no. 191</t>
        </is>
      </c>
      <c r="C17" t="inlineStr">
        <is>
          <t>0                      QD 0001000A  355                                                     no. 191</t>
        </is>
      </c>
      <c r="D17" t="inlineStr">
        <is>
          <t>Biomimetic chemistry / David Dolphin, editor ... [et al.] ; based on a symposium cosponsored by the ACS Divisions of Organic Chemistry and Inorganic Chemistry at the ACS/CSJ Chemical Congress (177th ACS national meeting) Honolulu, Hawaii, April 2-5, 1979.</t>
        </is>
      </c>
      <c r="E17" t="inlineStr">
        <is>
          <t>no. 191*</t>
        </is>
      </c>
      <c r="F17" t="inlineStr">
        <is>
          <t>No</t>
        </is>
      </c>
      <c r="G17" t="inlineStr">
        <is>
          <t>1</t>
        </is>
      </c>
      <c r="H17" t="inlineStr">
        <is>
          <t>No</t>
        </is>
      </c>
      <c r="I17" t="inlineStr">
        <is>
          <t>No</t>
        </is>
      </c>
      <c r="J17" t="inlineStr">
        <is>
          <t>0</t>
        </is>
      </c>
      <c r="L17" t="inlineStr">
        <is>
          <t>Washington, D.C. : American Chemical Society, 1980.</t>
        </is>
      </c>
      <c r="M17" t="inlineStr">
        <is>
          <t>1980</t>
        </is>
      </c>
      <c r="O17" t="inlineStr">
        <is>
          <t>eng</t>
        </is>
      </c>
      <c r="P17" t="inlineStr">
        <is>
          <t>dcu</t>
        </is>
      </c>
      <c r="Q17" t="inlineStr">
        <is>
          <t>Advances in chemistry series, 0065-2393 ; 191</t>
        </is>
      </c>
      <c r="R17" t="inlineStr">
        <is>
          <t xml:space="preserve">QD </t>
        </is>
      </c>
      <c r="S17" t="n">
        <v>1</v>
      </c>
      <c r="T17" t="n">
        <v>1</v>
      </c>
      <c r="U17" t="inlineStr">
        <is>
          <t>1998-07-23</t>
        </is>
      </c>
      <c r="V17" t="inlineStr">
        <is>
          <t>1998-07-23</t>
        </is>
      </c>
      <c r="W17" t="inlineStr">
        <is>
          <t>1993-05-14</t>
        </is>
      </c>
      <c r="X17" t="inlineStr">
        <is>
          <t>1993-05-14</t>
        </is>
      </c>
      <c r="Y17" t="n">
        <v>386</v>
      </c>
      <c r="Z17" t="n">
        <v>306</v>
      </c>
      <c r="AA17" t="n">
        <v>345</v>
      </c>
      <c r="AB17" t="n">
        <v>2</v>
      </c>
      <c r="AC17" t="n">
        <v>2</v>
      </c>
      <c r="AD17" t="n">
        <v>12</v>
      </c>
      <c r="AE17" t="n">
        <v>12</v>
      </c>
      <c r="AF17" t="n">
        <v>3</v>
      </c>
      <c r="AG17" t="n">
        <v>3</v>
      </c>
      <c r="AH17" t="n">
        <v>5</v>
      </c>
      <c r="AI17" t="n">
        <v>5</v>
      </c>
      <c r="AJ17" t="n">
        <v>7</v>
      </c>
      <c r="AK17" t="n">
        <v>7</v>
      </c>
      <c r="AL17" t="n">
        <v>1</v>
      </c>
      <c r="AM17" t="n">
        <v>1</v>
      </c>
      <c r="AN17" t="n">
        <v>0</v>
      </c>
      <c r="AO17" t="n">
        <v>0</v>
      </c>
      <c r="AP17" t="inlineStr">
        <is>
          <t>No</t>
        </is>
      </c>
      <c r="AQ17" t="inlineStr">
        <is>
          <t>Yes</t>
        </is>
      </c>
      <c r="AR17">
        <f>HYPERLINK("http://catalog.hathitrust.org/Record/000704275","HathiTrust Record")</f>
        <v/>
      </c>
      <c r="AS17">
        <f>HYPERLINK("https://creighton-primo.hosted.exlibrisgroup.com/primo-explore/search?tab=default_tab&amp;search_scope=EVERYTHING&amp;vid=01CRU&amp;lang=en_US&amp;offset=0&amp;query=any,contains,991005384959702656","Catalog Record")</f>
        <v/>
      </c>
      <c r="AT17">
        <f>HYPERLINK("http://www.worldcat.org/oclc/6815592","WorldCat Record")</f>
        <v/>
      </c>
      <c r="AU17" t="inlineStr">
        <is>
          <t>891881109:eng</t>
        </is>
      </c>
      <c r="AV17" t="inlineStr">
        <is>
          <t>6815592</t>
        </is>
      </c>
      <c r="AW17" t="inlineStr">
        <is>
          <t>991005384959702656</t>
        </is>
      </c>
      <c r="AX17" t="inlineStr">
        <is>
          <t>991005384959702656</t>
        </is>
      </c>
      <c r="AY17" t="inlineStr">
        <is>
          <t>2265358530002656</t>
        </is>
      </c>
      <c r="AZ17" t="inlineStr">
        <is>
          <t>BOOK</t>
        </is>
      </c>
      <c r="BB17" t="inlineStr">
        <is>
          <t>9780841205147</t>
        </is>
      </c>
      <c r="BC17" t="inlineStr">
        <is>
          <t>32285001657336</t>
        </is>
      </c>
      <c r="BD17" t="inlineStr">
        <is>
          <t>893796139</t>
        </is>
      </c>
    </row>
    <row r="18">
      <c r="A18" t="inlineStr">
        <is>
          <t>No</t>
        </is>
      </c>
      <c r="B18" t="inlineStr">
        <is>
          <t>QD1 .A355 no. 193</t>
        </is>
      </c>
      <c r="C18" t="inlineStr">
        <is>
          <t>0                      QD 0001000A  355                                                     no. 193</t>
        </is>
      </c>
      <c r="D18" t="inlineStr">
        <is>
          <t>Preservation of paper and textiles of historic and artistic value II : based on a symposium sponsored by the Cellulose, Paper, and Textile Division at the 178th meeting of the American Chemical Society, Washington, D.C., September 10-12, 1979 / John C. Williams, editor.</t>
        </is>
      </c>
      <c r="E18" t="inlineStr">
        <is>
          <t>no. 193*</t>
        </is>
      </c>
      <c r="F18" t="inlineStr">
        <is>
          <t>No</t>
        </is>
      </c>
      <c r="G18" t="inlineStr">
        <is>
          <t>1</t>
        </is>
      </c>
      <c r="H18" t="inlineStr">
        <is>
          <t>No</t>
        </is>
      </c>
      <c r="I18" t="inlineStr">
        <is>
          <t>No</t>
        </is>
      </c>
      <c r="J18" t="inlineStr">
        <is>
          <t>0</t>
        </is>
      </c>
      <c r="L18" t="inlineStr">
        <is>
          <t>Washington, D.C. : American Chemical Society, 1981.</t>
        </is>
      </c>
      <c r="M18" t="inlineStr">
        <is>
          <t>1981</t>
        </is>
      </c>
      <c r="O18" t="inlineStr">
        <is>
          <t>eng</t>
        </is>
      </c>
      <c r="P18" t="inlineStr">
        <is>
          <t>dcu</t>
        </is>
      </c>
      <c r="Q18" t="inlineStr">
        <is>
          <t>Advances in chemistry series ; 193</t>
        </is>
      </c>
      <c r="R18" t="inlineStr">
        <is>
          <t xml:space="preserve">QD </t>
        </is>
      </c>
      <c r="S18" t="n">
        <v>1</v>
      </c>
      <c r="T18" t="n">
        <v>1</v>
      </c>
      <c r="U18" t="inlineStr">
        <is>
          <t>1998-07-23</t>
        </is>
      </c>
      <c r="V18" t="inlineStr">
        <is>
          <t>1998-07-23</t>
        </is>
      </c>
      <c r="W18" t="inlineStr">
        <is>
          <t>1993-05-14</t>
        </is>
      </c>
      <c r="X18" t="inlineStr">
        <is>
          <t>1993-05-14</t>
        </is>
      </c>
      <c r="Y18" t="n">
        <v>495</v>
      </c>
      <c r="Z18" t="n">
        <v>398</v>
      </c>
      <c r="AA18" t="n">
        <v>443</v>
      </c>
      <c r="AB18" t="n">
        <v>4</v>
      </c>
      <c r="AC18" t="n">
        <v>4</v>
      </c>
      <c r="AD18" t="n">
        <v>13</v>
      </c>
      <c r="AE18" t="n">
        <v>13</v>
      </c>
      <c r="AF18" t="n">
        <v>5</v>
      </c>
      <c r="AG18" t="n">
        <v>5</v>
      </c>
      <c r="AH18" t="n">
        <v>3</v>
      </c>
      <c r="AI18" t="n">
        <v>3</v>
      </c>
      <c r="AJ18" t="n">
        <v>7</v>
      </c>
      <c r="AK18" t="n">
        <v>7</v>
      </c>
      <c r="AL18" t="n">
        <v>2</v>
      </c>
      <c r="AM18" t="n">
        <v>2</v>
      </c>
      <c r="AN18" t="n">
        <v>0</v>
      </c>
      <c r="AO18" t="n">
        <v>0</v>
      </c>
      <c r="AP18" t="inlineStr">
        <is>
          <t>No</t>
        </is>
      </c>
      <c r="AQ18" t="inlineStr">
        <is>
          <t>Yes</t>
        </is>
      </c>
      <c r="AR18">
        <f>HYPERLINK("http://catalog.hathitrust.org/Record/000732030","HathiTrust Record")</f>
        <v/>
      </c>
      <c r="AS18">
        <f>HYPERLINK("https://creighton-primo.hosted.exlibrisgroup.com/primo-explore/search?tab=default_tab&amp;search_scope=EVERYTHING&amp;vid=01CRU&amp;lang=en_US&amp;offset=0&amp;query=any,contains,991005387349702656","Catalog Record")</f>
        <v/>
      </c>
      <c r="AT18">
        <f>HYPERLINK("http://www.worldcat.org/oclc/7197252","WorldCat Record")</f>
        <v/>
      </c>
      <c r="AU18" t="inlineStr">
        <is>
          <t>472208891:eng</t>
        </is>
      </c>
      <c r="AV18" t="inlineStr">
        <is>
          <t>7197252</t>
        </is>
      </c>
      <c r="AW18" t="inlineStr">
        <is>
          <t>991005387349702656</t>
        </is>
      </c>
      <c r="AX18" t="inlineStr">
        <is>
          <t>991005387349702656</t>
        </is>
      </c>
      <c r="AY18" t="inlineStr">
        <is>
          <t>2255636460002656</t>
        </is>
      </c>
      <c r="AZ18" t="inlineStr">
        <is>
          <t>BOOK</t>
        </is>
      </c>
      <c r="BB18" t="inlineStr">
        <is>
          <t>9780841205536</t>
        </is>
      </c>
      <c r="BC18" t="inlineStr">
        <is>
          <t>32285001657351</t>
        </is>
      </c>
      <c r="BD18" t="inlineStr">
        <is>
          <t>893501947</t>
        </is>
      </c>
    </row>
    <row r="19">
      <c r="A19" t="inlineStr">
        <is>
          <t>No</t>
        </is>
      </c>
      <c r="B19" t="inlineStr">
        <is>
          <t>QD1 .A355 no. 196</t>
        </is>
      </c>
      <c r="C19" t="inlineStr">
        <is>
          <t>0                      QD 0001000A  355                                                     no. 196</t>
        </is>
      </c>
      <c r="D19" t="inlineStr">
        <is>
          <t>Catalytic aspects of metal phosphine complexes : based on a symposium sponsored by the ACS and CIC Divisions of Inorganic Chemistry at the 1980 Biennial Inorganic Chemistry Symposium, Guelph, Canada, June 5-7, 1980 / Elmer C. Alyea, editor, Devon W. Meek, editor.</t>
        </is>
      </c>
      <c r="E19" t="inlineStr">
        <is>
          <t>no. 196*</t>
        </is>
      </c>
      <c r="F19" t="inlineStr">
        <is>
          <t>No</t>
        </is>
      </c>
      <c r="G19" t="inlineStr">
        <is>
          <t>1</t>
        </is>
      </c>
      <c r="H19" t="inlineStr">
        <is>
          <t>No</t>
        </is>
      </c>
      <c r="I19" t="inlineStr">
        <is>
          <t>No</t>
        </is>
      </c>
      <c r="J19" t="inlineStr">
        <is>
          <t>0</t>
        </is>
      </c>
      <c r="L19" t="inlineStr">
        <is>
          <t>Washington, D.C. : American Chemical Society, 1982.</t>
        </is>
      </c>
      <c r="M19" t="inlineStr">
        <is>
          <t>1981</t>
        </is>
      </c>
      <c r="O19" t="inlineStr">
        <is>
          <t>eng</t>
        </is>
      </c>
      <c r="P19" t="inlineStr">
        <is>
          <t>dcu</t>
        </is>
      </c>
      <c r="Q19" t="inlineStr">
        <is>
          <t>Advances in chemistry series, 0065-2393 ; 196</t>
        </is>
      </c>
      <c r="R19" t="inlineStr">
        <is>
          <t xml:space="preserve">QD </t>
        </is>
      </c>
      <c r="S19" t="n">
        <v>3</v>
      </c>
      <c r="T19" t="n">
        <v>3</v>
      </c>
      <c r="U19" t="inlineStr">
        <is>
          <t>1998-07-23</t>
        </is>
      </c>
      <c r="V19" t="inlineStr">
        <is>
          <t>1998-07-23</t>
        </is>
      </c>
      <c r="W19" t="inlineStr">
        <is>
          <t>1993-05-14</t>
        </is>
      </c>
      <c r="X19" t="inlineStr">
        <is>
          <t>1993-05-14</t>
        </is>
      </c>
      <c r="Y19" t="n">
        <v>364</v>
      </c>
      <c r="Z19" t="n">
        <v>278</v>
      </c>
      <c r="AA19" t="n">
        <v>317</v>
      </c>
      <c r="AB19" t="n">
        <v>2</v>
      </c>
      <c r="AC19" t="n">
        <v>2</v>
      </c>
      <c r="AD19" t="n">
        <v>10</v>
      </c>
      <c r="AE19" t="n">
        <v>12</v>
      </c>
      <c r="AF19" t="n">
        <v>2</v>
      </c>
      <c r="AG19" t="n">
        <v>2</v>
      </c>
      <c r="AH19" t="n">
        <v>1</v>
      </c>
      <c r="AI19" t="n">
        <v>3</v>
      </c>
      <c r="AJ19" t="n">
        <v>8</v>
      </c>
      <c r="AK19" t="n">
        <v>9</v>
      </c>
      <c r="AL19" t="n">
        <v>1</v>
      </c>
      <c r="AM19" t="n">
        <v>1</v>
      </c>
      <c r="AN19" t="n">
        <v>0</v>
      </c>
      <c r="AO19" t="n">
        <v>0</v>
      </c>
      <c r="AP19" t="inlineStr">
        <is>
          <t>No</t>
        </is>
      </c>
      <c r="AQ19" t="inlineStr">
        <is>
          <t>Yes</t>
        </is>
      </c>
      <c r="AR19">
        <f>HYPERLINK("http://catalog.hathitrust.org/Record/000266921","HathiTrust Record")</f>
        <v/>
      </c>
      <c r="AS19">
        <f>HYPERLINK("https://creighton-primo.hosted.exlibrisgroup.com/primo-explore/search?tab=default_tab&amp;search_scope=EVERYTHING&amp;vid=01CRU&amp;lang=en_US&amp;offset=0&amp;query=any,contains,991005388089702656","Catalog Record")</f>
        <v/>
      </c>
      <c r="AT19">
        <f>HYPERLINK("http://www.worldcat.org/oclc/7739119","WorldCat Record")</f>
        <v/>
      </c>
      <c r="AU19" t="inlineStr">
        <is>
          <t>806763052:eng</t>
        </is>
      </c>
      <c r="AV19" t="inlineStr">
        <is>
          <t>7739119</t>
        </is>
      </c>
      <c r="AW19" t="inlineStr">
        <is>
          <t>991005388089702656</t>
        </is>
      </c>
      <c r="AX19" t="inlineStr">
        <is>
          <t>991005388089702656</t>
        </is>
      </c>
      <c r="AY19" t="inlineStr">
        <is>
          <t>2258552870002656</t>
        </is>
      </c>
      <c r="AZ19" t="inlineStr">
        <is>
          <t>BOOK</t>
        </is>
      </c>
      <c r="BB19" t="inlineStr">
        <is>
          <t>9780841206014</t>
        </is>
      </c>
      <c r="BC19" t="inlineStr">
        <is>
          <t>32285001657385</t>
        </is>
      </c>
      <c r="BD19" t="inlineStr">
        <is>
          <t>893261074</t>
        </is>
      </c>
    </row>
    <row r="20">
      <c r="A20" t="inlineStr">
        <is>
          <t>No</t>
        </is>
      </c>
      <c r="B20" t="inlineStr">
        <is>
          <t>QD1 .A355 no. 197</t>
        </is>
      </c>
      <c r="C20" t="inlineStr">
        <is>
          <t>0                      QD 0001000A  355                                                     no. 197</t>
        </is>
      </c>
      <c r="D20" t="inlineStr">
        <is>
          <t>Short-lived radionuclides in chemistry and biology : based on a symposium / cosponsored by the Divisions of Nuclear Chemistry and Technology and Physical Chemistry and jointly sponsored by the Division of Biological Chemistry at the 178th Meeting of the American Chemical Society, Washington, D.C., September 10-13, 1979 ; John W. Root, editor, Kenneth A. Krohn, editor.</t>
        </is>
      </c>
      <c r="E20" t="inlineStr">
        <is>
          <t>no. 197*</t>
        </is>
      </c>
      <c r="F20" t="inlineStr">
        <is>
          <t>No</t>
        </is>
      </c>
      <c r="G20" t="inlineStr">
        <is>
          <t>1</t>
        </is>
      </c>
      <c r="H20" t="inlineStr">
        <is>
          <t>No</t>
        </is>
      </c>
      <c r="I20" t="inlineStr">
        <is>
          <t>No</t>
        </is>
      </c>
      <c r="J20" t="inlineStr">
        <is>
          <t>0</t>
        </is>
      </c>
      <c r="L20" t="inlineStr">
        <is>
          <t>Washington, D.C. : American Chemical Society, 1981.</t>
        </is>
      </c>
      <c r="M20" t="inlineStr">
        <is>
          <t>1981</t>
        </is>
      </c>
      <c r="O20" t="inlineStr">
        <is>
          <t>eng</t>
        </is>
      </c>
      <c r="P20" t="inlineStr">
        <is>
          <t>dcu</t>
        </is>
      </c>
      <c r="Q20" t="inlineStr">
        <is>
          <t>Advances in chemistry series, 0065-2393 ; 197</t>
        </is>
      </c>
      <c r="R20" t="inlineStr">
        <is>
          <t xml:space="preserve">QD </t>
        </is>
      </c>
      <c r="S20" t="n">
        <v>1</v>
      </c>
      <c r="T20" t="n">
        <v>1</v>
      </c>
      <c r="U20" t="inlineStr">
        <is>
          <t>1998-07-23</t>
        </is>
      </c>
      <c r="V20" t="inlineStr">
        <is>
          <t>1998-07-23</t>
        </is>
      </c>
      <c r="W20" t="inlineStr">
        <is>
          <t>1993-05-14</t>
        </is>
      </c>
      <c r="X20" t="inlineStr">
        <is>
          <t>1993-05-14</t>
        </is>
      </c>
      <c r="Y20" t="n">
        <v>317</v>
      </c>
      <c r="Z20" t="n">
        <v>250</v>
      </c>
      <c r="AA20" t="n">
        <v>289</v>
      </c>
      <c r="AB20" t="n">
        <v>2</v>
      </c>
      <c r="AC20" t="n">
        <v>2</v>
      </c>
      <c r="AD20" t="n">
        <v>8</v>
      </c>
      <c r="AE20" t="n">
        <v>8</v>
      </c>
      <c r="AF20" t="n">
        <v>3</v>
      </c>
      <c r="AG20" t="n">
        <v>3</v>
      </c>
      <c r="AH20" t="n">
        <v>3</v>
      </c>
      <c r="AI20" t="n">
        <v>3</v>
      </c>
      <c r="AJ20" t="n">
        <v>4</v>
      </c>
      <c r="AK20" t="n">
        <v>4</v>
      </c>
      <c r="AL20" t="n">
        <v>1</v>
      </c>
      <c r="AM20" t="n">
        <v>1</v>
      </c>
      <c r="AN20" t="n">
        <v>0</v>
      </c>
      <c r="AO20" t="n">
        <v>0</v>
      </c>
      <c r="AP20" t="inlineStr">
        <is>
          <t>No</t>
        </is>
      </c>
      <c r="AQ20" t="inlineStr">
        <is>
          <t>Yes</t>
        </is>
      </c>
      <c r="AR20">
        <f>HYPERLINK("http://catalog.hathitrust.org/Record/000103531","HathiTrust Record")</f>
        <v/>
      </c>
      <c r="AS20">
        <f>HYPERLINK("https://creighton-primo.hosted.exlibrisgroup.com/primo-explore/search?tab=default_tab&amp;search_scope=EVERYTHING&amp;vid=01CRU&amp;lang=en_US&amp;offset=0&amp;query=any,contains,991005391089702656","Catalog Record")</f>
        <v/>
      </c>
      <c r="AT20">
        <f>HYPERLINK("http://www.worldcat.org/oclc/7977133","WorldCat Record")</f>
        <v/>
      </c>
      <c r="AU20" t="inlineStr">
        <is>
          <t>806762953:eng</t>
        </is>
      </c>
      <c r="AV20" t="inlineStr">
        <is>
          <t>7977133</t>
        </is>
      </c>
      <c r="AW20" t="inlineStr">
        <is>
          <t>991005391089702656</t>
        </is>
      </c>
      <c r="AX20" t="inlineStr">
        <is>
          <t>991005391089702656</t>
        </is>
      </c>
      <c r="AY20" t="inlineStr">
        <is>
          <t>2272376590002656</t>
        </is>
      </c>
      <c r="AZ20" t="inlineStr">
        <is>
          <t>BOOK</t>
        </is>
      </c>
      <c r="BB20" t="inlineStr">
        <is>
          <t>9780841206038</t>
        </is>
      </c>
      <c r="BC20" t="inlineStr">
        <is>
          <t>32285001657393</t>
        </is>
      </c>
      <c r="BD20" t="inlineStr">
        <is>
          <t>893320558</t>
        </is>
      </c>
    </row>
    <row r="21">
      <c r="A21" t="inlineStr">
        <is>
          <t>No</t>
        </is>
      </c>
      <c r="B21" t="inlineStr">
        <is>
          <t>QD1 .A355 no. 199</t>
        </is>
      </c>
      <c r="C21" t="inlineStr">
        <is>
          <t>0                      QD 0001000A  355                                                     no. 199</t>
        </is>
      </c>
      <c r="D21" t="inlineStr">
        <is>
          <t>Biomaterials, interfacial phenomena and applications / Stuart L. Cooper, editor, Nicholas A. Peppas, editor, Allan S. Hoffman, associate editor, Buddy D. Ratner, associate editor.</t>
        </is>
      </c>
      <c r="E21" t="inlineStr">
        <is>
          <t>no. 199*</t>
        </is>
      </c>
      <c r="F21" t="inlineStr">
        <is>
          <t>No</t>
        </is>
      </c>
      <c r="G21" t="inlineStr">
        <is>
          <t>1</t>
        </is>
      </c>
      <c r="H21" t="inlineStr">
        <is>
          <t>No</t>
        </is>
      </c>
      <c r="I21" t="inlineStr">
        <is>
          <t>No</t>
        </is>
      </c>
      <c r="J21" t="inlineStr">
        <is>
          <t>0</t>
        </is>
      </c>
      <c r="K21" t="inlineStr">
        <is>
          <t>American Institute of Chemical Engineers. Annual Meeting (73rd : 1980 : Chicago, Ill.)</t>
        </is>
      </c>
      <c r="L21" t="inlineStr">
        <is>
          <t>Washington, D.C. : American Chemical Society, 1982.</t>
        </is>
      </c>
      <c r="M21" t="inlineStr">
        <is>
          <t>1982</t>
        </is>
      </c>
      <c r="O21" t="inlineStr">
        <is>
          <t>eng</t>
        </is>
      </c>
      <c r="P21" t="inlineStr">
        <is>
          <t>dcu</t>
        </is>
      </c>
      <c r="Q21" t="inlineStr">
        <is>
          <t>Advances in chemistry, 0065-2393 ; 199</t>
        </is>
      </c>
      <c r="R21" t="inlineStr">
        <is>
          <t xml:space="preserve">QD </t>
        </is>
      </c>
      <c r="S21" t="n">
        <v>1</v>
      </c>
      <c r="T21" t="n">
        <v>1</v>
      </c>
      <c r="U21" t="inlineStr">
        <is>
          <t>1998-07-23</t>
        </is>
      </c>
      <c r="V21" t="inlineStr">
        <is>
          <t>1998-07-23</t>
        </is>
      </c>
      <c r="W21" t="inlineStr">
        <is>
          <t>1993-05-14</t>
        </is>
      </c>
      <c r="X21" t="inlineStr">
        <is>
          <t>1993-05-14</t>
        </is>
      </c>
      <c r="Y21" t="n">
        <v>351</v>
      </c>
      <c r="Z21" t="n">
        <v>278</v>
      </c>
      <c r="AA21" t="n">
        <v>312</v>
      </c>
      <c r="AB21" t="n">
        <v>2</v>
      </c>
      <c r="AC21" t="n">
        <v>2</v>
      </c>
      <c r="AD21" t="n">
        <v>9</v>
      </c>
      <c r="AE21" t="n">
        <v>9</v>
      </c>
      <c r="AF21" t="n">
        <v>2</v>
      </c>
      <c r="AG21" t="n">
        <v>2</v>
      </c>
      <c r="AH21" t="n">
        <v>4</v>
      </c>
      <c r="AI21" t="n">
        <v>4</v>
      </c>
      <c r="AJ21" t="n">
        <v>5</v>
      </c>
      <c r="AK21" t="n">
        <v>5</v>
      </c>
      <c r="AL21" t="n">
        <v>1</v>
      </c>
      <c r="AM21" t="n">
        <v>1</v>
      </c>
      <c r="AN21" t="n">
        <v>0</v>
      </c>
      <c r="AO21" t="n">
        <v>0</v>
      </c>
      <c r="AP21" t="inlineStr">
        <is>
          <t>No</t>
        </is>
      </c>
      <c r="AQ21" t="inlineStr">
        <is>
          <t>Yes</t>
        </is>
      </c>
      <c r="AR21">
        <f>HYPERLINK("http://catalog.hathitrust.org/Record/000272194","HathiTrust Record")</f>
        <v/>
      </c>
      <c r="AS21">
        <f>HYPERLINK("https://creighton-primo.hosted.exlibrisgroup.com/primo-explore/search?tab=default_tab&amp;search_scope=EVERYTHING&amp;vid=01CRU&amp;lang=en_US&amp;offset=0&amp;query=any,contains,991005396359702656","Catalog Record")</f>
        <v/>
      </c>
      <c r="AT21">
        <f>HYPERLINK("http://www.worldcat.org/oclc/8389640","WorldCat Record")</f>
        <v/>
      </c>
      <c r="AU21" t="inlineStr">
        <is>
          <t>31945695:eng</t>
        </is>
      </c>
      <c r="AV21" t="inlineStr">
        <is>
          <t>8389640</t>
        </is>
      </c>
      <c r="AW21" t="inlineStr">
        <is>
          <t>991005396359702656</t>
        </is>
      </c>
      <c r="AX21" t="inlineStr">
        <is>
          <t>991005396359702656</t>
        </is>
      </c>
      <c r="AY21" t="inlineStr">
        <is>
          <t>2261022410002656</t>
        </is>
      </c>
      <c r="AZ21" t="inlineStr">
        <is>
          <t>BOOK</t>
        </is>
      </c>
      <c r="BB21" t="inlineStr">
        <is>
          <t>9780841206311</t>
        </is>
      </c>
      <c r="BC21" t="inlineStr">
        <is>
          <t>32285001657419</t>
        </is>
      </c>
      <c r="BD21" t="inlineStr">
        <is>
          <t>893261094</t>
        </is>
      </c>
    </row>
    <row r="22">
      <c r="A22" t="inlineStr">
        <is>
          <t>No</t>
        </is>
      </c>
      <c r="B22" t="inlineStr">
        <is>
          <t>QD1 .A355 no. 200</t>
        </is>
      </c>
      <c r="C22" t="inlineStr">
        <is>
          <t>0                      QD 0001000A  355                                                     no. 200</t>
        </is>
      </c>
      <c r="D22" t="inlineStr">
        <is>
          <t>Ascorbic acid : chemistry, metabolism, and uses : based on a symposium sponsored by the Division of Carbohydrate Chemistry at the Second Chemical Congress of the North American Continent (180th ACS National Meeting), Las Vegas, Nevada, August 26-27, 1980 / Paul A. Seib, editor, Bert M. Tolbert.</t>
        </is>
      </c>
      <c r="E22" t="inlineStr">
        <is>
          <t>no. 200*</t>
        </is>
      </c>
      <c r="F22" t="inlineStr">
        <is>
          <t>No</t>
        </is>
      </c>
      <c r="G22" t="inlineStr">
        <is>
          <t>1</t>
        </is>
      </c>
      <c r="H22" t="inlineStr">
        <is>
          <t>No</t>
        </is>
      </c>
      <c r="I22" t="inlineStr">
        <is>
          <t>No</t>
        </is>
      </c>
      <c r="J22" t="inlineStr">
        <is>
          <t>0</t>
        </is>
      </c>
      <c r="L22" t="inlineStr">
        <is>
          <t>Washington, D.C. : American Chemical Society, 1982.</t>
        </is>
      </c>
      <c r="M22" t="inlineStr">
        <is>
          <t>1982</t>
        </is>
      </c>
      <c r="O22" t="inlineStr">
        <is>
          <t>eng</t>
        </is>
      </c>
      <c r="P22" t="inlineStr">
        <is>
          <t>dcu</t>
        </is>
      </c>
      <c r="Q22" t="inlineStr">
        <is>
          <t>Advances in chemistry series, 0065-2393 ; 200</t>
        </is>
      </c>
      <c r="R22" t="inlineStr">
        <is>
          <t xml:space="preserve">QD </t>
        </is>
      </c>
      <c r="S22" t="n">
        <v>5</v>
      </c>
      <c r="T22" t="n">
        <v>5</v>
      </c>
      <c r="U22" t="inlineStr">
        <is>
          <t>2007-03-12</t>
        </is>
      </c>
      <c r="V22" t="inlineStr">
        <is>
          <t>2007-03-12</t>
        </is>
      </c>
      <c r="W22" t="inlineStr">
        <is>
          <t>1993-05-14</t>
        </is>
      </c>
      <c r="X22" t="inlineStr">
        <is>
          <t>1993-05-14</t>
        </is>
      </c>
      <c r="Y22" t="n">
        <v>459</v>
      </c>
      <c r="Z22" t="n">
        <v>379</v>
      </c>
      <c r="AA22" t="n">
        <v>414</v>
      </c>
      <c r="AB22" t="n">
        <v>3</v>
      </c>
      <c r="AC22" t="n">
        <v>3</v>
      </c>
      <c r="AD22" t="n">
        <v>14</v>
      </c>
      <c r="AE22" t="n">
        <v>14</v>
      </c>
      <c r="AF22" t="n">
        <v>3</v>
      </c>
      <c r="AG22" t="n">
        <v>3</v>
      </c>
      <c r="AH22" t="n">
        <v>5</v>
      </c>
      <c r="AI22" t="n">
        <v>5</v>
      </c>
      <c r="AJ22" t="n">
        <v>9</v>
      </c>
      <c r="AK22" t="n">
        <v>9</v>
      </c>
      <c r="AL22" t="n">
        <v>2</v>
      </c>
      <c r="AM22" t="n">
        <v>2</v>
      </c>
      <c r="AN22" t="n">
        <v>0</v>
      </c>
      <c r="AO22" t="n">
        <v>0</v>
      </c>
      <c r="AP22" t="inlineStr">
        <is>
          <t>No</t>
        </is>
      </c>
      <c r="AQ22" t="inlineStr">
        <is>
          <t>Yes</t>
        </is>
      </c>
      <c r="AR22">
        <f>HYPERLINK("http://catalog.hathitrust.org/Record/000229346","HathiTrust Record")</f>
        <v/>
      </c>
      <c r="AS22">
        <f>HYPERLINK("https://creighton-primo.hosted.exlibrisgroup.com/primo-explore/search?tab=default_tab&amp;search_scope=EVERYTHING&amp;vid=01CRU&amp;lang=en_US&amp;offset=0&amp;query=any,contains,991000051379702656","Catalog Record")</f>
        <v/>
      </c>
      <c r="AT22">
        <f>HYPERLINK("http://www.worldcat.org/oclc/8688426","WorldCat Record")</f>
        <v/>
      </c>
      <c r="AU22" t="inlineStr">
        <is>
          <t>806763002:eng</t>
        </is>
      </c>
      <c r="AV22" t="inlineStr">
        <is>
          <t>8688426</t>
        </is>
      </c>
      <c r="AW22" t="inlineStr">
        <is>
          <t>991000051379702656</t>
        </is>
      </c>
      <c r="AX22" t="inlineStr">
        <is>
          <t>991000051379702656</t>
        </is>
      </c>
      <c r="AY22" t="inlineStr">
        <is>
          <t>2272506370002656</t>
        </is>
      </c>
      <c r="AZ22" t="inlineStr">
        <is>
          <t>BOOK</t>
        </is>
      </c>
      <c r="BB22" t="inlineStr">
        <is>
          <t>9780841206328</t>
        </is>
      </c>
      <c r="BC22" t="inlineStr">
        <is>
          <t>32285001657427</t>
        </is>
      </c>
      <c r="BD22" t="inlineStr">
        <is>
          <t>893508465</t>
        </is>
      </c>
    </row>
    <row r="23">
      <c r="A23" t="inlineStr">
        <is>
          <t>No</t>
        </is>
      </c>
      <c r="B23" t="inlineStr">
        <is>
          <t>QD1 .A355 no. 201</t>
        </is>
      </c>
      <c r="C23" t="inlineStr">
        <is>
          <t>0                      QD 0001000A  355                                                     no. 201</t>
        </is>
      </c>
      <c r="D23" t="inlineStr">
        <is>
          <t>Electrochemical and spectrochemical studies of biological redox components : based on a symposium sponsored by the ACS Division of Analytical Chemistry at the 181st meeting of the American Chemical Society, Atlanta, Georgia, March 30-April 2, 1981 / Karl M. Kadish, editor.</t>
        </is>
      </c>
      <c r="E23" t="inlineStr">
        <is>
          <t>no. 201*</t>
        </is>
      </c>
      <c r="F23" t="inlineStr">
        <is>
          <t>No</t>
        </is>
      </c>
      <c r="G23" t="inlineStr">
        <is>
          <t>1</t>
        </is>
      </c>
      <c r="H23" t="inlineStr">
        <is>
          <t>No</t>
        </is>
      </c>
      <c r="I23" t="inlineStr">
        <is>
          <t>No</t>
        </is>
      </c>
      <c r="J23" t="inlineStr">
        <is>
          <t>0</t>
        </is>
      </c>
      <c r="L23" t="inlineStr">
        <is>
          <t>Washington, D.C. : American Chemical Society, 1982.</t>
        </is>
      </c>
      <c r="M23" t="inlineStr">
        <is>
          <t>1982</t>
        </is>
      </c>
      <c r="O23" t="inlineStr">
        <is>
          <t>eng</t>
        </is>
      </c>
      <c r="P23" t="inlineStr">
        <is>
          <t>dcu</t>
        </is>
      </c>
      <c r="Q23" t="inlineStr">
        <is>
          <t>Advances in chemistry series, 0065-2393 ; 201</t>
        </is>
      </c>
      <c r="R23" t="inlineStr">
        <is>
          <t xml:space="preserve">QD </t>
        </is>
      </c>
      <c r="S23" t="n">
        <v>4</v>
      </c>
      <c r="T23" t="n">
        <v>4</v>
      </c>
      <c r="U23" t="inlineStr">
        <is>
          <t>1998-07-23</t>
        </is>
      </c>
      <c r="V23" t="inlineStr">
        <is>
          <t>1998-07-23</t>
        </is>
      </c>
      <c r="W23" t="inlineStr">
        <is>
          <t>1993-05-14</t>
        </is>
      </c>
      <c r="X23" t="inlineStr">
        <is>
          <t>1993-05-14</t>
        </is>
      </c>
      <c r="Y23" t="n">
        <v>382</v>
      </c>
      <c r="Z23" t="n">
        <v>311</v>
      </c>
      <c r="AA23" t="n">
        <v>354</v>
      </c>
      <c r="AB23" t="n">
        <v>3</v>
      </c>
      <c r="AC23" t="n">
        <v>3</v>
      </c>
      <c r="AD23" t="n">
        <v>13</v>
      </c>
      <c r="AE23" t="n">
        <v>13</v>
      </c>
      <c r="AF23" t="n">
        <v>3</v>
      </c>
      <c r="AG23" t="n">
        <v>3</v>
      </c>
      <c r="AH23" t="n">
        <v>4</v>
      </c>
      <c r="AI23" t="n">
        <v>4</v>
      </c>
      <c r="AJ23" t="n">
        <v>9</v>
      </c>
      <c r="AK23" t="n">
        <v>9</v>
      </c>
      <c r="AL23" t="n">
        <v>2</v>
      </c>
      <c r="AM23" t="n">
        <v>2</v>
      </c>
      <c r="AN23" t="n">
        <v>0</v>
      </c>
      <c r="AO23" t="n">
        <v>0</v>
      </c>
      <c r="AP23" t="inlineStr">
        <is>
          <t>No</t>
        </is>
      </c>
      <c r="AQ23" t="inlineStr">
        <is>
          <t>No</t>
        </is>
      </c>
      <c r="AS23">
        <f>HYPERLINK("https://creighton-primo.hosted.exlibrisgroup.com/primo-explore/search?tab=default_tab&amp;search_scope=EVERYTHING&amp;vid=01CRU&amp;lang=en_US&amp;offset=0&amp;query=any,contains,991005397629702656","Catalog Record")</f>
        <v/>
      </c>
      <c r="AT23">
        <f>HYPERLINK("http://www.worldcat.org/oclc/8590856","WorldCat Record")</f>
        <v/>
      </c>
      <c r="AU23" t="inlineStr">
        <is>
          <t>806763003:eng</t>
        </is>
      </c>
      <c r="AV23" t="inlineStr">
        <is>
          <t>8590856</t>
        </is>
      </c>
      <c r="AW23" t="inlineStr">
        <is>
          <t>991005397629702656</t>
        </is>
      </c>
      <c r="AX23" t="inlineStr">
        <is>
          <t>991005397629702656</t>
        </is>
      </c>
      <c r="AY23" t="inlineStr">
        <is>
          <t>2272144590002656</t>
        </is>
      </c>
      <c r="AZ23" t="inlineStr">
        <is>
          <t>BOOK</t>
        </is>
      </c>
      <c r="BB23" t="inlineStr">
        <is>
          <t>9780841206618</t>
        </is>
      </c>
      <c r="BC23" t="inlineStr">
        <is>
          <t>32285001657435</t>
        </is>
      </c>
      <c r="BD23" t="inlineStr">
        <is>
          <t>893871121</t>
        </is>
      </c>
    </row>
    <row r="24">
      <c r="A24" t="inlineStr">
        <is>
          <t>No</t>
        </is>
      </c>
      <c r="B24" t="inlineStr">
        <is>
          <t>QD1 .A355 NO. 76</t>
        </is>
      </c>
      <c r="C24" t="inlineStr">
        <is>
          <t>0                      QD 0001000A  355                                                     NO. 76</t>
        </is>
      </c>
      <c r="D24" t="inlineStr">
        <is>
          <t>Oxidation of organic compounds : proceedings / Frank R. Mayo, general chairman.</t>
        </is>
      </c>
      <c r="E24" t="inlineStr">
        <is>
          <t>NO. 76*</t>
        </is>
      </c>
      <c r="F24" t="inlineStr">
        <is>
          <t>Yes</t>
        </is>
      </c>
      <c r="G24" t="inlineStr">
        <is>
          <t>1</t>
        </is>
      </c>
      <c r="H24" t="inlineStr">
        <is>
          <t>No</t>
        </is>
      </c>
      <c r="I24" t="inlineStr">
        <is>
          <t>No</t>
        </is>
      </c>
      <c r="J24" t="inlineStr">
        <is>
          <t>0</t>
        </is>
      </c>
      <c r="K24" t="inlineStr">
        <is>
          <t>International Oxidation Symposium (1967 : San Francisco, Calif.)</t>
        </is>
      </c>
      <c r="L24" t="inlineStr">
        <is>
          <t>Washington : American Chemical Society, 1968.</t>
        </is>
      </c>
      <c r="M24" t="inlineStr">
        <is>
          <t>1968</t>
        </is>
      </c>
      <c r="O24" t="inlineStr">
        <is>
          <t>eng</t>
        </is>
      </c>
      <c r="P24" t="inlineStr">
        <is>
          <t>dcu</t>
        </is>
      </c>
      <c r="Q24" t="inlineStr">
        <is>
          <t>Advances in chemistry series ; 75-77</t>
        </is>
      </c>
      <c r="R24" t="inlineStr">
        <is>
          <t xml:space="preserve">QD </t>
        </is>
      </c>
      <c r="S24" t="n">
        <v>0</v>
      </c>
      <c r="T24" t="n">
        <v>2</v>
      </c>
      <c r="V24" t="inlineStr">
        <is>
          <t>2002-06-05</t>
        </is>
      </c>
      <c r="W24" t="inlineStr">
        <is>
          <t>2002-02-12</t>
        </is>
      </c>
      <c r="X24" t="inlineStr">
        <is>
          <t>2002-02-12</t>
        </is>
      </c>
      <c r="Y24" t="n">
        <v>535</v>
      </c>
      <c r="Z24" t="n">
        <v>452</v>
      </c>
      <c r="AA24" t="n">
        <v>501</v>
      </c>
      <c r="AB24" t="n">
        <v>2</v>
      </c>
      <c r="AC24" t="n">
        <v>2</v>
      </c>
      <c r="AD24" t="n">
        <v>17</v>
      </c>
      <c r="AE24" t="n">
        <v>19</v>
      </c>
      <c r="AF24" t="n">
        <v>5</v>
      </c>
      <c r="AG24" t="n">
        <v>6</v>
      </c>
      <c r="AH24" t="n">
        <v>4</v>
      </c>
      <c r="AI24" t="n">
        <v>5</v>
      </c>
      <c r="AJ24" t="n">
        <v>13</v>
      </c>
      <c r="AK24" t="n">
        <v>13</v>
      </c>
      <c r="AL24" t="n">
        <v>1</v>
      </c>
      <c r="AM24" t="n">
        <v>1</v>
      </c>
      <c r="AN24" t="n">
        <v>0</v>
      </c>
      <c r="AO24" t="n">
        <v>0</v>
      </c>
      <c r="AP24" t="inlineStr">
        <is>
          <t>No</t>
        </is>
      </c>
      <c r="AQ24" t="inlineStr">
        <is>
          <t>Yes</t>
        </is>
      </c>
      <c r="AR24">
        <f>HYPERLINK("http://catalog.hathitrust.org/Record/000777291","HathiTrust Record")</f>
        <v/>
      </c>
      <c r="AS24">
        <f>HYPERLINK("https://creighton-primo.hosted.exlibrisgroup.com/primo-explore/search?tab=default_tab&amp;search_scope=EVERYTHING&amp;vid=01CRU&amp;lang=en_US&amp;offset=0&amp;query=any,contains,991003082119702656","Catalog Record")</f>
        <v/>
      </c>
      <c r="AT24">
        <f>HYPERLINK("http://www.worldcat.org/oclc/261882","WorldCat Record")</f>
        <v/>
      </c>
      <c r="AU24" t="inlineStr">
        <is>
          <t>8908460173:eng</t>
        </is>
      </c>
      <c r="AV24" t="inlineStr">
        <is>
          <t>261882</t>
        </is>
      </c>
      <c r="AW24" t="inlineStr">
        <is>
          <t>991003082119702656</t>
        </is>
      </c>
      <c r="AX24" t="inlineStr">
        <is>
          <t>991003082119702656</t>
        </is>
      </c>
      <c r="AY24" t="inlineStr">
        <is>
          <t>2266705190002656</t>
        </is>
      </c>
      <c r="AZ24" t="inlineStr">
        <is>
          <t>BOOK</t>
        </is>
      </c>
      <c r="BC24" t="inlineStr">
        <is>
          <t>32285001655777</t>
        </is>
      </c>
      <c r="BD24" t="inlineStr">
        <is>
          <t>893686171</t>
        </is>
      </c>
    </row>
    <row r="25">
      <c r="A25" t="inlineStr">
        <is>
          <t>No</t>
        </is>
      </c>
      <c r="B25" t="inlineStr">
        <is>
          <t>QD1 .A355 NO. 77</t>
        </is>
      </c>
      <c r="C25" t="inlineStr">
        <is>
          <t>0                      QD 0001000A  355                                                     NO. 77</t>
        </is>
      </c>
      <c r="D25" t="inlineStr">
        <is>
          <t>Oxidation of organic compounds : proceedings / Frank R. Mayo, general chairman.</t>
        </is>
      </c>
      <c r="E25" t="inlineStr">
        <is>
          <t>NO. 77*</t>
        </is>
      </c>
      <c r="F25" t="inlineStr">
        <is>
          <t>Yes</t>
        </is>
      </c>
      <c r="G25" t="inlineStr">
        <is>
          <t>1</t>
        </is>
      </c>
      <c r="H25" t="inlineStr">
        <is>
          <t>No</t>
        </is>
      </c>
      <c r="I25" t="inlineStr">
        <is>
          <t>No</t>
        </is>
      </c>
      <c r="J25" t="inlineStr">
        <is>
          <t>0</t>
        </is>
      </c>
      <c r="K25" t="inlineStr">
        <is>
          <t>International Oxidation Symposium (1967 : San Francisco, Calif.)</t>
        </is>
      </c>
      <c r="L25" t="inlineStr">
        <is>
          <t>Washington : American Chemical Society, 1968.</t>
        </is>
      </c>
      <c r="M25" t="inlineStr">
        <is>
          <t>1968</t>
        </is>
      </c>
      <c r="O25" t="inlineStr">
        <is>
          <t>eng</t>
        </is>
      </c>
      <c r="P25" t="inlineStr">
        <is>
          <t>dcu</t>
        </is>
      </c>
      <c r="Q25" t="inlineStr">
        <is>
          <t>Advances in chemistry series ; 75-77</t>
        </is>
      </c>
      <c r="R25" t="inlineStr">
        <is>
          <t xml:space="preserve">QD </t>
        </is>
      </c>
      <c r="S25" t="n">
        <v>1</v>
      </c>
      <c r="T25" t="n">
        <v>2</v>
      </c>
      <c r="U25" t="inlineStr">
        <is>
          <t>2002-06-05</t>
        </is>
      </c>
      <c r="V25" t="inlineStr">
        <is>
          <t>2002-06-05</t>
        </is>
      </c>
      <c r="W25" t="inlineStr">
        <is>
          <t>2002-02-12</t>
        </is>
      </c>
      <c r="X25" t="inlineStr">
        <is>
          <t>2002-02-12</t>
        </is>
      </c>
      <c r="Y25" t="n">
        <v>535</v>
      </c>
      <c r="Z25" t="n">
        <v>452</v>
      </c>
      <c r="AA25" t="n">
        <v>501</v>
      </c>
      <c r="AB25" t="n">
        <v>2</v>
      </c>
      <c r="AC25" t="n">
        <v>2</v>
      </c>
      <c r="AD25" t="n">
        <v>17</v>
      </c>
      <c r="AE25" t="n">
        <v>19</v>
      </c>
      <c r="AF25" t="n">
        <v>5</v>
      </c>
      <c r="AG25" t="n">
        <v>6</v>
      </c>
      <c r="AH25" t="n">
        <v>4</v>
      </c>
      <c r="AI25" t="n">
        <v>5</v>
      </c>
      <c r="AJ25" t="n">
        <v>13</v>
      </c>
      <c r="AK25" t="n">
        <v>13</v>
      </c>
      <c r="AL25" t="n">
        <v>1</v>
      </c>
      <c r="AM25" t="n">
        <v>1</v>
      </c>
      <c r="AN25" t="n">
        <v>0</v>
      </c>
      <c r="AO25" t="n">
        <v>0</v>
      </c>
      <c r="AP25" t="inlineStr">
        <is>
          <t>No</t>
        </is>
      </c>
      <c r="AQ25" t="inlineStr">
        <is>
          <t>Yes</t>
        </is>
      </c>
      <c r="AR25">
        <f>HYPERLINK("http://catalog.hathitrust.org/Record/000777291","HathiTrust Record")</f>
        <v/>
      </c>
      <c r="AS25">
        <f>HYPERLINK("https://creighton-primo.hosted.exlibrisgroup.com/primo-explore/search?tab=default_tab&amp;search_scope=EVERYTHING&amp;vid=01CRU&amp;lang=en_US&amp;offset=0&amp;query=any,contains,991003082119702656","Catalog Record")</f>
        <v/>
      </c>
      <c r="AT25">
        <f>HYPERLINK("http://www.worldcat.org/oclc/261882","WorldCat Record")</f>
        <v/>
      </c>
      <c r="AU25" t="inlineStr">
        <is>
          <t>8908460173:eng</t>
        </is>
      </c>
      <c r="AV25" t="inlineStr">
        <is>
          <t>261882</t>
        </is>
      </c>
      <c r="AW25" t="inlineStr">
        <is>
          <t>991003082119702656</t>
        </is>
      </c>
      <c r="AX25" t="inlineStr">
        <is>
          <t>991003082119702656</t>
        </is>
      </c>
      <c r="AY25" t="inlineStr">
        <is>
          <t>2266705190002656</t>
        </is>
      </c>
      <c r="AZ25" t="inlineStr">
        <is>
          <t>BOOK</t>
        </is>
      </c>
      <c r="BC25" t="inlineStr">
        <is>
          <t>32285001655785</t>
        </is>
      </c>
      <c r="BD25" t="inlineStr">
        <is>
          <t>893686170</t>
        </is>
      </c>
    </row>
    <row r="26">
      <c r="A26" t="inlineStr">
        <is>
          <t>No</t>
        </is>
      </c>
      <c r="B26" t="inlineStr">
        <is>
          <t>QD1 .A355 no.110</t>
        </is>
      </c>
      <c r="C26" t="inlineStr">
        <is>
          <t>0                      QD 0001000A  355                                                     no.110</t>
        </is>
      </c>
      <c r="D26" t="inlineStr">
        <is>
          <t>Sulfur research trends / David J. Miller and T. K. Wiewiorowski, symposium chairmen.</t>
        </is>
      </c>
      <c r="E26" t="inlineStr">
        <is>
          <t>no.110*</t>
        </is>
      </c>
      <c r="F26" t="inlineStr">
        <is>
          <t>No</t>
        </is>
      </c>
      <c r="G26" t="inlineStr">
        <is>
          <t>1</t>
        </is>
      </c>
      <c r="H26" t="inlineStr">
        <is>
          <t>No</t>
        </is>
      </c>
      <c r="I26" t="inlineStr">
        <is>
          <t>No</t>
        </is>
      </c>
      <c r="J26" t="inlineStr">
        <is>
          <t>0</t>
        </is>
      </c>
      <c r="K26" t="inlineStr">
        <is>
          <t>Mardi Gras Symposium (3rd : 1971 : Loyola University, New Orleans, La.)</t>
        </is>
      </c>
      <c r="L26" t="inlineStr">
        <is>
          <t>Washington : American Chemical Society, 1972.</t>
        </is>
      </c>
      <c r="M26" t="inlineStr">
        <is>
          <t>1972</t>
        </is>
      </c>
      <c r="O26" t="inlineStr">
        <is>
          <t>eng</t>
        </is>
      </c>
      <c r="P26" t="inlineStr">
        <is>
          <t>dcu</t>
        </is>
      </c>
      <c r="Q26" t="inlineStr">
        <is>
          <t>Advances in chemistry series ; 110</t>
        </is>
      </c>
      <c r="R26" t="inlineStr">
        <is>
          <t xml:space="preserve">QD </t>
        </is>
      </c>
      <c r="S26" t="n">
        <v>2</v>
      </c>
      <c r="T26" t="n">
        <v>2</v>
      </c>
      <c r="U26" t="inlineStr">
        <is>
          <t>1998-07-23</t>
        </is>
      </c>
      <c r="V26" t="inlineStr">
        <is>
          <t>1998-07-23</t>
        </is>
      </c>
      <c r="W26" t="inlineStr">
        <is>
          <t>1993-05-04</t>
        </is>
      </c>
      <c r="X26" t="inlineStr">
        <is>
          <t>1993-05-04</t>
        </is>
      </c>
      <c r="Y26" t="n">
        <v>392</v>
      </c>
      <c r="Z26" t="n">
        <v>314</v>
      </c>
      <c r="AA26" t="n">
        <v>348</v>
      </c>
      <c r="AB26" t="n">
        <v>2</v>
      </c>
      <c r="AC26" t="n">
        <v>2</v>
      </c>
      <c r="AD26" t="n">
        <v>10</v>
      </c>
      <c r="AE26" t="n">
        <v>10</v>
      </c>
      <c r="AF26" t="n">
        <v>2</v>
      </c>
      <c r="AG26" t="n">
        <v>2</v>
      </c>
      <c r="AH26" t="n">
        <v>3</v>
      </c>
      <c r="AI26" t="n">
        <v>3</v>
      </c>
      <c r="AJ26" t="n">
        <v>8</v>
      </c>
      <c r="AK26" t="n">
        <v>8</v>
      </c>
      <c r="AL26" t="n">
        <v>1</v>
      </c>
      <c r="AM26" t="n">
        <v>1</v>
      </c>
      <c r="AN26" t="n">
        <v>0</v>
      </c>
      <c r="AO26" t="n">
        <v>0</v>
      </c>
      <c r="AP26" t="inlineStr">
        <is>
          <t>No</t>
        </is>
      </c>
      <c r="AQ26" t="inlineStr">
        <is>
          <t>Yes</t>
        </is>
      </c>
      <c r="AR26">
        <f>HYPERLINK("http://catalog.hathitrust.org/Record/001113623","HathiTrust Record")</f>
        <v/>
      </c>
      <c r="AS26">
        <f>HYPERLINK("https://creighton-primo.hosted.exlibrisgroup.com/primo-explore/search?tab=default_tab&amp;search_scope=EVERYTHING&amp;vid=01CRU&amp;lang=en_US&amp;offset=0&amp;query=any,contains,991005354469702656","Catalog Record")</f>
        <v/>
      </c>
      <c r="AT26">
        <f>HYPERLINK("http://www.worldcat.org/oclc/320118","WorldCat Record")</f>
        <v/>
      </c>
      <c r="AU26" t="inlineStr">
        <is>
          <t>5550481956:eng</t>
        </is>
      </c>
      <c r="AV26" t="inlineStr">
        <is>
          <t>320118</t>
        </is>
      </c>
      <c r="AW26" t="inlineStr">
        <is>
          <t>991005354469702656</t>
        </is>
      </c>
      <c r="AX26" t="inlineStr">
        <is>
          <t>991005354469702656</t>
        </is>
      </c>
      <c r="AY26" t="inlineStr">
        <is>
          <t>2258711280002656</t>
        </is>
      </c>
      <c r="AZ26" t="inlineStr">
        <is>
          <t>BOOK</t>
        </is>
      </c>
      <c r="BB26" t="inlineStr">
        <is>
          <t>9780841201378</t>
        </is>
      </c>
      <c r="BC26" t="inlineStr">
        <is>
          <t>32285001632784</t>
        </is>
      </c>
      <c r="BD26" t="inlineStr">
        <is>
          <t>893443813</t>
        </is>
      </c>
    </row>
    <row r="27">
      <c r="A27" t="inlineStr">
        <is>
          <t>No</t>
        </is>
      </c>
      <c r="B27" t="inlineStr">
        <is>
          <t>QD1 .A355 no.126</t>
        </is>
      </c>
      <c r="C27" t="inlineStr">
        <is>
          <t>0                      QD 0001000A  355                                                     no.126</t>
        </is>
      </c>
      <c r="D27" t="inlineStr">
        <is>
          <t>Nomenclature of organic compounds : principles and practice / edited by John H. Fletcher, Otis C. Dermer [and] Robert B. Fox for the Committee on Nomenclature of the Division of Organic Chemistry of the American Chemical Society.</t>
        </is>
      </c>
      <c r="E27" t="inlineStr">
        <is>
          <t>no.126*</t>
        </is>
      </c>
      <c r="F27" t="inlineStr">
        <is>
          <t>No</t>
        </is>
      </c>
      <c r="G27" t="inlineStr">
        <is>
          <t>2</t>
        </is>
      </c>
      <c r="H27" t="inlineStr">
        <is>
          <t>Yes</t>
        </is>
      </c>
      <c r="I27" t="inlineStr">
        <is>
          <t>No</t>
        </is>
      </c>
      <c r="J27" t="inlineStr">
        <is>
          <t>0</t>
        </is>
      </c>
      <c r="K27" t="inlineStr">
        <is>
          <t>Fletcher, John H.</t>
        </is>
      </c>
      <c r="L27" t="inlineStr">
        <is>
          <t>Washington : American Chemical Society, 1974.</t>
        </is>
      </c>
      <c r="M27" t="inlineStr">
        <is>
          <t>1974</t>
        </is>
      </c>
      <c r="O27" t="inlineStr">
        <is>
          <t>eng</t>
        </is>
      </c>
      <c r="P27" t="inlineStr">
        <is>
          <t>dcu</t>
        </is>
      </c>
      <c r="Q27" t="inlineStr">
        <is>
          <t>Advances in chemistry series ; 126</t>
        </is>
      </c>
      <c r="R27" t="inlineStr">
        <is>
          <t xml:space="preserve">QD </t>
        </is>
      </c>
      <c r="S27" t="n">
        <v>2</v>
      </c>
      <c r="T27" t="n">
        <v>3</v>
      </c>
      <c r="U27" t="inlineStr">
        <is>
          <t>1998-07-23</t>
        </is>
      </c>
      <c r="V27" t="inlineStr">
        <is>
          <t>1998-07-23</t>
        </is>
      </c>
      <c r="W27" t="inlineStr">
        <is>
          <t>1990-10-13</t>
        </is>
      </c>
      <c r="X27" t="inlineStr">
        <is>
          <t>1990-10-13</t>
        </is>
      </c>
      <c r="Y27" t="n">
        <v>721</v>
      </c>
      <c r="Z27" t="n">
        <v>598</v>
      </c>
      <c r="AA27" t="n">
        <v>643</v>
      </c>
      <c r="AB27" t="n">
        <v>3</v>
      </c>
      <c r="AC27" t="n">
        <v>3</v>
      </c>
      <c r="AD27" t="n">
        <v>17</v>
      </c>
      <c r="AE27" t="n">
        <v>18</v>
      </c>
      <c r="AF27" t="n">
        <v>6</v>
      </c>
      <c r="AG27" t="n">
        <v>7</v>
      </c>
      <c r="AH27" t="n">
        <v>4</v>
      </c>
      <c r="AI27" t="n">
        <v>4</v>
      </c>
      <c r="AJ27" t="n">
        <v>9</v>
      </c>
      <c r="AK27" t="n">
        <v>10</v>
      </c>
      <c r="AL27" t="n">
        <v>2</v>
      </c>
      <c r="AM27" t="n">
        <v>2</v>
      </c>
      <c r="AN27" t="n">
        <v>0</v>
      </c>
      <c r="AO27" t="n">
        <v>0</v>
      </c>
      <c r="AP27" t="inlineStr">
        <is>
          <t>No</t>
        </is>
      </c>
      <c r="AQ27" t="inlineStr">
        <is>
          <t>Yes</t>
        </is>
      </c>
      <c r="AR27">
        <f>HYPERLINK("http://catalog.hathitrust.org/Record/001021801","HathiTrust Record")</f>
        <v/>
      </c>
      <c r="AS27">
        <f>HYPERLINK("https://creighton-primo.hosted.exlibrisgroup.com/primo-explore/search?tab=default_tab&amp;search_scope=EVERYTHING&amp;vid=01CRU&amp;lang=en_US&amp;offset=0&amp;query=any,contains,991005357259702656","Catalog Record")</f>
        <v/>
      </c>
      <c r="AT27">
        <f>HYPERLINK("http://www.worldcat.org/oclc/922539","WorldCat Record")</f>
        <v/>
      </c>
      <c r="AU27" t="inlineStr">
        <is>
          <t>821647016:eng</t>
        </is>
      </c>
      <c r="AV27" t="inlineStr">
        <is>
          <t>922539</t>
        </is>
      </c>
      <c r="AW27" t="inlineStr">
        <is>
          <t>991005357259702656</t>
        </is>
      </c>
      <c r="AX27" t="inlineStr">
        <is>
          <t>991005357259702656</t>
        </is>
      </c>
      <c r="AY27" t="inlineStr">
        <is>
          <t>2264834410002656</t>
        </is>
      </c>
      <c r="AZ27" t="inlineStr">
        <is>
          <t>BOOK</t>
        </is>
      </c>
      <c r="BB27" t="inlineStr">
        <is>
          <t>9780841201910</t>
        </is>
      </c>
      <c r="BC27" t="inlineStr">
        <is>
          <t>32285000277805</t>
        </is>
      </c>
      <c r="BD27" t="inlineStr">
        <is>
          <t>893527452</t>
        </is>
      </c>
    </row>
    <row r="28">
      <c r="A28" t="inlineStr">
        <is>
          <t>No</t>
        </is>
      </c>
      <c r="B28" t="inlineStr">
        <is>
          <t>QD1 .A355 no.126</t>
        </is>
      </c>
      <c r="C28" t="inlineStr">
        <is>
          <t>0                      QD 0001000A  355                                                     no.126</t>
        </is>
      </c>
      <c r="D28" t="inlineStr">
        <is>
          <t>Nomenclature of organic compounds : principles and practice / edited by John H. Fletcher, Otis C. Dermer [and] Robert B. Fox for the Committee on Nomenclature of the Division of Organic Chemistry of the American Chemical Society.</t>
        </is>
      </c>
      <c r="E28" t="inlineStr">
        <is>
          <t>no.126*</t>
        </is>
      </c>
      <c r="F28" t="inlineStr">
        <is>
          <t>No</t>
        </is>
      </c>
      <c r="G28" t="inlineStr">
        <is>
          <t>1</t>
        </is>
      </c>
      <c r="H28" t="inlineStr">
        <is>
          <t>Yes</t>
        </is>
      </c>
      <c r="I28" t="inlineStr">
        <is>
          <t>No</t>
        </is>
      </c>
      <c r="J28" t="inlineStr">
        <is>
          <t>0</t>
        </is>
      </c>
      <c r="K28" t="inlineStr">
        <is>
          <t>Fletcher, John H.</t>
        </is>
      </c>
      <c r="L28" t="inlineStr">
        <is>
          <t>Washington : American Chemical Society, 1974.</t>
        </is>
      </c>
      <c r="M28" t="inlineStr">
        <is>
          <t>1974</t>
        </is>
      </c>
      <c r="O28" t="inlineStr">
        <is>
          <t>eng</t>
        </is>
      </c>
      <c r="P28" t="inlineStr">
        <is>
          <t>dcu</t>
        </is>
      </c>
      <c r="Q28" t="inlineStr">
        <is>
          <t>Advances in chemistry series ; 126</t>
        </is>
      </c>
      <c r="R28" t="inlineStr">
        <is>
          <t xml:space="preserve">QD </t>
        </is>
      </c>
      <c r="S28" t="n">
        <v>1</v>
      </c>
      <c r="T28" t="n">
        <v>3</v>
      </c>
      <c r="U28" t="inlineStr">
        <is>
          <t>1998-07-23</t>
        </is>
      </c>
      <c r="V28" t="inlineStr">
        <is>
          <t>1998-07-23</t>
        </is>
      </c>
      <c r="W28" t="inlineStr">
        <is>
          <t>1990-10-13</t>
        </is>
      </c>
      <c r="X28" t="inlineStr">
        <is>
          <t>1990-10-13</t>
        </is>
      </c>
      <c r="Y28" t="n">
        <v>721</v>
      </c>
      <c r="Z28" t="n">
        <v>598</v>
      </c>
      <c r="AA28" t="n">
        <v>643</v>
      </c>
      <c r="AB28" t="n">
        <v>3</v>
      </c>
      <c r="AC28" t="n">
        <v>3</v>
      </c>
      <c r="AD28" t="n">
        <v>17</v>
      </c>
      <c r="AE28" t="n">
        <v>18</v>
      </c>
      <c r="AF28" t="n">
        <v>6</v>
      </c>
      <c r="AG28" t="n">
        <v>7</v>
      </c>
      <c r="AH28" t="n">
        <v>4</v>
      </c>
      <c r="AI28" t="n">
        <v>4</v>
      </c>
      <c r="AJ28" t="n">
        <v>9</v>
      </c>
      <c r="AK28" t="n">
        <v>10</v>
      </c>
      <c r="AL28" t="n">
        <v>2</v>
      </c>
      <c r="AM28" t="n">
        <v>2</v>
      </c>
      <c r="AN28" t="n">
        <v>0</v>
      </c>
      <c r="AO28" t="n">
        <v>0</v>
      </c>
      <c r="AP28" t="inlineStr">
        <is>
          <t>No</t>
        </is>
      </c>
      <c r="AQ28" t="inlineStr">
        <is>
          <t>Yes</t>
        </is>
      </c>
      <c r="AR28">
        <f>HYPERLINK("http://catalog.hathitrust.org/Record/001021801","HathiTrust Record")</f>
        <v/>
      </c>
      <c r="AS28">
        <f>HYPERLINK("https://creighton-primo.hosted.exlibrisgroup.com/primo-explore/search?tab=default_tab&amp;search_scope=EVERYTHING&amp;vid=01CRU&amp;lang=en_US&amp;offset=0&amp;query=any,contains,991005357259702656","Catalog Record")</f>
        <v/>
      </c>
      <c r="AT28">
        <f>HYPERLINK("http://www.worldcat.org/oclc/922539","WorldCat Record")</f>
        <v/>
      </c>
      <c r="AU28" t="inlineStr">
        <is>
          <t>821647016:eng</t>
        </is>
      </c>
      <c r="AV28" t="inlineStr">
        <is>
          <t>922539</t>
        </is>
      </c>
      <c r="AW28" t="inlineStr">
        <is>
          <t>991005357259702656</t>
        </is>
      </c>
      <c r="AX28" t="inlineStr">
        <is>
          <t>991005357259702656</t>
        </is>
      </c>
      <c r="AY28" t="inlineStr">
        <is>
          <t>2264834410002656</t>
        </is>
      </c>
      <c r="AZ28" t="inlineStr">
        <is>
          <t>BOOK</t>
        </is>
      </c>
      <c r="BB28" t="inlineStr">
        <is>
          <t>9780841201910</t>
        </is>
      </c>
      <c r="BC28" t="inlineStr">
        <is>
          <t>32285000310887</t>
        </is>
      </c>
      <c r="BD28" t="inlineStr">
        <is>
          <t>893527451</t>
        </is>
      </c>
    </row>
    <row r="29">
      <c r="A29" t="inlineStr">
        <is>
          <t>No</t>
        </is>
      </c>
      <c r="B29" t="inlineStr">
        <is>
          <t>QD1 .A355 no.149</t>
        </is>
      </c>
      <c r="C29" t="inlineStr">
        <is>
          <t>0                      QD 0001000A  355                                                     no.149</t>
        </is>
      </c>
      <c r="D29" t="inlineStr">
        <is>
          <t>Mycotoxins and other fungal related food problems : a symposium sponsored by the Division of Agricultural and Food Chemistry at the 168th meeting of the American Chemical Society, Atlantic City, N.J., Sept. 11-13, 1974 : [papers] / Joseph V. Rodricks, editor.</t>
        </is>
      </c>
      <c r="E29" t="inlineStr">
        <is>
          <t>no.149*</t>
        </is>
      </c>
      <c r="F29" t="inlineStr">
        <is>
          <t>No</t>
        </is>
      </c>
      <c r="G29" t="inlineStr">
        <is>
          <t>1</t>
        </is>
      </c>
      <c r="H29" t="inlineStr">
        <is>
          <t>No</t>
        </is>
      </c>
      <c r="I29" t="inlineStr">
        <is>
          <t>No</t>
        </is>
      </c>
      <c r="J29" t="inlineStr">
        <is>
          <t>0</t>
        </is>
      </c>
      <c r="L29" t="inlineStr">
        <is>
          <t>Washington : American Chemical Society, 1976.</t>
        </is>
      </c>
      <c r="M29" t="inlineStr">
        <is>
          <t>1976</t>
        </is>
      </c>
      <c r="O29" t="inlineStr">
        <is>
          <t>eng</t>
        </is>
      </c>
      <c r="P29" t="inlineStr">
        <is>
          <t>dcu</t>
        </is>
      </c>
      <c r="Q29" t="inlineStr">
        <is>
          <t>Advances in chemistry series, 0065-2393 ; 149</t>
        </is>
      </c>
      <c r="R29" t="inlineStr">
        <is>
          <t xml:space="preserve">QD </t>
        </is>
      </c>
      <c r="S29" t="n">
        <v>1</v>
      </c>
      <c r="T29" t="n">
        <v>1</v>
      </c>
      <c r="U29" t="inlineStr">
        <is>
          <t>2002-10-27</t>
        </is>
      </c>
      <c r="V29" t="inlineStr">
        <is>
          <t>2002-10-27</t>
        </is>
      </c>
      <c r="W29" t="inlineStr">
        <is>
          <t>2000-06-15</t>
        </is>
      </c>
      <c r="X29" t="inlineStr">
        <is>
          <t>2000-06-15</t>
        </is>
      </c>
      <c r="Y29" t="n">
        <v>380</v>
      </c>
      <c r="Z29" t="n">
        <v>303</v>
      </c>
      <c r="AA29" t="n">
        <v>337</v>
      </c>
      <c r="AB29" t="n">
        <v>3</v>
      </c>
      <c r="AC29" t="n">
        <v>3</v>
      </c>
      <c r="AD29" t="n">
        <v>13</v>
      </c>
      <c r="AE29" t="n">
        <v>13</v>
      </c>
      <c r="AF29" t="n">
        <v>4</v>
      </c>
      <c r="AG29" t="n">
        <v>4</v>
      </c>
      <c r="AH29" t="n">
        <v>4</v>
      </c>
      <c r="AI29" t="n">
        <v>4</v>
      </c>
      <c r="AJ29" t="n">
        <v>7</v>
      </c>
      <c r="AK29" t="n">
        <v>7</v>
      </c>
      <c r="AL29" t="n">
        <v>2</v>
      </c>
      <c r="AM29" t="n">
        <v>2</v>
      </c>
      <c r="AN29" t="n">
        <v>0</v>
      </c>
      <c r="AO29" t="n">
        <v>0</v>
      </c>
      <c r="AP29" t="inlineStr">
        <is>
          <t>No</t>
        </is>
      </c>
      <c r="AQ29" t="inlineStr">
        <is>
          <t>Yes</t>
        </is>
      </c>
      <c r="AR29">
        <f>HYPERLINK("http://catalog.hathitrust.org/Record/000700896","HathiTrust Record")</f>
        <v/>
      </c>
      <c r="AS29">
        <f>HYPERLINK("https://creighton-primo.hosted.exlibrisgroup.com/primo-explore/search?tab=default_tab&amp;search_scope=EVERYTHING&amp;vid=01CRU&amp;lang=en_US&amp;offset=0&amp;query=any,contains,991003111539702656","Catalog Record")</f>
        <v/>
      </c>
      <c r="AT29">
        <f>HYPERLINK("http://www.worldcat.org/oclc/2072784","WorldCat Record")</f>
        <v/>
      </c>
      <c r="AU29" t="inlineStr">
        <is>
          <t>806763012:eng</t>
        </is>
      </c>
      <c r="AV29" t="inlineStr">
        <is>
          <t>2072784</t>
        </is>
      </c>
      <c r="AW29" t="inlineStr">
        <is>
          <t>991003111539702656</t>
        </is>
      </c>
      <c r="AX29" t="inlineStr">
        <is>
          <t>991003111539702656</t>
        </is>
      </c>
      <c r="AY29" t="inlineStr">
        <is>
          <t>2254903430002656</t>
        </is>
      </c>
      <c r="AZ29" t="inlineStr">
        <is>
          <t>BOOK</t>
        </is>
      </c>
      <c r="BB29" t="inlineStr">
        <is>
          <t>9780841202221</t>
        </is>
      </c>
      <c r="BC29" t="inlineStr">
        <is>
          <t>32285001656932</t>
        </is>
      </c>
      <c r="BD29" t="inlineStr">
        <is>
          <t>893422190</t>
        </is>
      </c>
    </row>
    <row r="30">
      <c r="A30" t="inlineStr">
        <is>
          <t>No</t>
        </is>
      </c>
      <c r="B30" t="inlineStr">
        <is>
          <t>QD1 .A355 no.162</t>
        </is>
      </c>
      <c r="C30" t="inlineStr">
        <is>
          <t>0                      QD 0001000A  355                                                     no.162</t>
        </is>
      </c>
      <c r="D30" t="inlineStr">
        <is>
          <t>Bioinorganic chemistry-II : a symposium co-sponsored by the Division of Inorganic Chemistry and by the Division of Biological Chemistry at the 171st meeting of the American Chemical Society, New York, N.Y., April 7-9, 1976 / Kenneth N. Raymond, editor.</t>
        </is>
      </c>
      <c r="E30" t="inlineStr">
        <is>
          <t>no.162*</t>
        </is>
      </c>
      <c r="F30" t="inlineStr">
        <is>
          <t>No</t>
        </is>
      </c>
      <c r="G30" t="inlineStr">
        <is>
          <t>1</t>
        </is>
      </c>
      <c r="H30" t="inlineStr">
        <is>
          <t>No</t>
        </is>
      </c>
      <c r="I30" t="inlineStr">
        <is>
          <t>No</t>
        </is>
      </c>
      <c r="J30" t="inlineStr">
        <is>
          <t>0</t>
        </is>
      </c>
      <c r="L30" t="inlineStr">
        <is>
          <t>Washington : American Chemical Society, 1977.</t>
        </is>
      </c>
      <c r="M30" t="inlineStr">
        <is>
          <t>1977</t>
        </is>
      </c>
      <c r="O30" t="inlineStr">
        <is>
          <t>eng</t>
        </is>
      </c>
      <c r="P30" t="inlineStr">
        <is>
          <t>dcu</t>
        </is>
      </c>
      <c r="Q30" t="inlineStr">
        <is>
          <t>Advances in chemistry series, 0065-2393 ; 162</t>
        </is>
      </c>
      <c r="R30" t="inlineStr">
        <is>
          <t xml:space="preserve">QD </t>
        </is>
      </c>
      <c r="S30" t="n">
        <v>1</v>
      </c>
      <c r="T30" t="n">
        <v>1</v>
      </c>
      <c r="U30" t="inlineStr">
        <is>
          <t>1998-07-23</t>
        </is>
      </c>
      <c r="V30" t="inlineStr">
        <is>
          <t>1998-07-23</t>
        </is>
      </c>
      <c r="W30" t="inlineStr">
        <is>
          <t>1993-05-14</t>
        </is>
      </c>
      <c r="X30" t="inlineStr">
        <is>
          <t>1993-05-14</t>
        </is>
      </c>
      <c r="Y30" t="n">
        <v>484</v>
      </c>
      <c r="Z30" t="n">
        <v>405</v>
      </c>
      <c r="AA30" t="n">
        <v>415</v>
      </c>
      <c r="AB30" t="n">
        <v>2</v>
      </c>
      <c r="AC30" t="n">
        <v>2</v>
      </c>
      <c r="AD30" t="n">
        <v>17</v>
      </c>
      <c r="AE30" t="n">
        <v>17</v>
      </c>
      <c r="AF30" t="n">
        <v>5</v>
      </c>
      <c r="AG30" t="n">
        <v>5</v>
      </c>
      <c r="AH30" t="n">
        <v>4</v>
      </c>
      <c r="AI30" t="n">
        <v>4</v>
      </c>
      <c r="AJ30" t="n">
        <v>11</v>
      </c>
      <c r="AK30" t="n">
        <v>11</v>
      </c>
      <c r="AL30" t="n">
        <v>1</v>
      </c>
      <c r="AM30" t="n">
        <v>1</v>
      </c>
      <c r="AN30" t="n">
        <v>0</v>
      </c>
      <c r="AO30" t="n">
        <v>0</v>
      </c>
      <c r="AP30" t="inlineStr">
        <is>
          <t>No</t>
        </is>
      </c>
      <c r="AQ30" t="inlineStr">
        <is>
          <t>Yes</t>
        </is>
      </c>
      <c r="AR30">
        <f>HYPERLINK("http://catalog.hathitrust.org/Record/002553985","HathiTrust Record")</f>
        <v/>
      </c>
      <c r="AS30">
        <f>HYPERLINK("https://creighton-primo.hosted.exlibrisgroup.com/primo-explore/search?tab=default_tab&amp;search_scope=EVERYTHING&amp;vid=01CRU&amp;lang=en_US&amp;offset=0&amp;query=any,contains,991005370669702656","Catalog Record")</f>
        <v/>
      </c>
      <c r="AT30">
        <f>HYPERLINK("http://www.worldcat.org/oclc/3088908","WorldCat Record")</f>
        <v/>
      </c>
      <c r="AU30" t="inlineStr">
        <is>
          <t>809585403:eng</t>
        </is>
      </c>
      <c r="AV30" t="inlineStr">
        <is>
          <t>3088908</t>
        </is>
      </c>
      <c r="AW30" t="inlineStr">
        <is>
          <t>991005370669702656</t>
        </is>
      </c>
      <c r="AX30" t="inlineStr">
        <is>
          <t>991005370669702656</t>
        </is>
      </c>
      <c r="AY30" t="inlineStr">
        <is>
          <t>2266087650002656</t>
        </is>
      </c>
      <c r="AZ30" t="inlineStr">
        <is>
          <t>BOOK</t>
        </is>
      </c>
      <c r="BB30" t="inlineStr">
        <is>
          <t>9780841203594</t>
        </is>
      </c>
      <c r="BC30" t="inlineStr">
        <is>
          <t>32285001657062</t>
        </is>
      </c>
      <c r="BD30" t="inlineStr">
        <is>
          <t>893789912</t>
        </is>
      </c>
    </row>
    <row r="31">
      <c r="A31" t="inlineStr">
        <is>
          <t>No</t>
        </is>
      </c>
      <c r="B31" t="inlineStr">
        <is>
          <t>QD1 .A355 no.163</t>
        </is>
      </c>
      <c r="C31" t="inlineStr">
        <is>
          <t>0                      QD 0001000A  355                                                     no.163</t>
        </is>
      </c>
      <c r="D31" t="inlineStr">
        <is>
          <t>Solid state chemistry of energy conversion and storage : a symposium / sponsored by the Division of Inorganic Chemistry at the 171st meeting of the American Chemical Society, New York, N.Y., April 5-8, 1976 ; John B. Goodenough, editor, M. Stanley Whittingham, editor.</t>
        </is>
      </c>
      <c r="E31" t="inlineStr">
        <is>
          <t>no.163*</t>
        </is>
      </c>
      <c r="F31" t="inlineStr">
        <is>
          <t>No</t>
        </is>
      </c>
      <c r="G31" t="inlineStr">
        <is>
          <t>1</t>
        </is>
      </c>
      <c r="H31" t="inlineStr">
        <is>
          <t>No</t>
        </is>
      </c>
      <c r="I31" t="inlineStr">
        <is>
          <t>No</t>
        </is>
      </c>
      <c r="J31" t="inlineStr">
        <is>
          <t>0</t>
        </is>
      </c>
      <c r="L31" t="inlineStr">
        <is>
          <t>Washington : American Chemical Society, 1977.</t>
        </is>
      </c>
      <c r="M31" t="inlineStr">
        <is>
          <t>1977</t>
        </is>
      </c>
      <c r="O31" t="inlineStr">
        <is>
          <t>eng</t>
        </is>
      </c>
      <c r="P31" t="inlineStr">
        <is>
          <t>dcu</t>
        </is>
      </c>
      <c r="Q31" t="inlineStr">
        <is>
          <t>Advances in chemistry series, [0065-2393] ; 163</t>
        </is>
      </c>
      <c r="R31" t="inlineStr">
        <is>
          <t xml:space="preserve">QD </t>
        </is>
      </c>
      <c r="S31" t="n">
        <v>1</v>
      </c>
      <c r="T31" t="n">
        <v>1</v>
      </c>
      <c r="U31" t="inlineStr">
        <is>
          <t>1998-07-23</t>
        </is>
      </c>
      <c r="V31" t="inlineStr">
        <is>
          <t>1998-07-23</t>
        </is>
      </c>
      <c r="W31" t="inlineStr">
        <is>
          <t>1993-05-14</t>
        </is>
      </c>
      <c r="X31" t="inlineStr">
        <is>
          <t>1993-05-14</t>
        </is>
      </c>
      <c r="Y31" t="n">
        <v>392</v>
      </c>
      <c r="Z31" t="n">
        <v>306</v>
      </c>
      <c r="AA31" t="n">
        <v>344</v>
      </c>
      <c r="AB31" t="n">
        <v>2</v>
      </c>
      <c r="AC31" t="n">
        <v>2</v>
      </c>
      <c r="AD31" t="n">
        <v>14</v>
      </c>
      <c r="AE31" t="n">
        <v>14</v>
      </c>
      <c r="AF31" t="n">
        <v>3</v>
      </c>
      <c r="AG31" t="n">
        <v>3</v>
      </c>
      <c r="AH31" t="n">
        <v>5</v>
      </c>
      <c r="AI31" t="n">
        <v>5</v>
      </c>
      <c r="AJ31" t="n">
        <v>9</v>
      </c>
      <c r="AK31" t="n">
        <v>9</v>
      </c>
      <c r="AL31" t="n">
        <v>1</v>
      </c>
      <c r="AM31" t="n">
        <v>1</v>
      </c>
      <c r="AN31" t="n">
        <v>0</v>
      </c>
      <c r="AO31" t="n">
        <v>0</v>
      </c>
      <c r="AP31" t="inlineStr">
        <is>
          <t>No</t>
        </is>
      </c>
      <c r="AQ31" t="inlineStr">
        <is>
          <t>Yes</t>
        </is>
      </c>
      <c r="AR31">
        <f>HYPERLINK("http://catalog.hathitrust.org/Record/000750837","HathiTrust Record")</f>
        <v/>
      </c>
      <c r="AS31">
        <f>HYPERLINK("https://creighton-primo.hosted.exlibrisgroup.com/primo-explore/search?tab=default_tab&amp;search_scope=EVERYTHING&amp;vid=01CRU&amp;lang=en_US&amp;offset=0&amp;query=any,contains,991005371069702656","Catalog Record")</f>
        <v/>
      </c>
      <c r="AT31">
        <f>HYPERLINK("http://www.worldcat.org/oclc/3380332","WorldCat Record")</f>
        <v/>
      </c>
      <c r="AU31" t="inlineStr">
        <is>
          <t>890341590:eng</t>
        </is>
      </c>
      <c r="AV31" t="inlineStr">
        <is>
          <t>3380332</t>
        </is>
      </c>
      <c r="AW31" t="inlineStr">
        <is>
          <t>991005371069702656</t>
        </is>
      </c>
      <c r="AX31" t="inlineStr">
        <is>
          <t>991005371069702656</t>
        </is>
      </c>
      <c r="AY31" t="inlineStr">
        <is>
          <t>2272766800002656</t>
        </is>
      </c>
      <c r="AZ31" t="inlineStr">
        <is>
          <t>BOOK</t>
        </is>
      </c>
      <c r="BB31" t="inlineStr">
        <is>
          <t>9780841203587</t>
        </is>
      </c>
      <c r="BC31" t="inlineStr">
        <is>
          <t>32285001657070</t>
        </is>
      </c>
      <c r="BD31" t="inlineStr">
        <is>
          <t>893720317</t>
        </is>
      </c>
    </row>
    <row r="32">
      <c r="A32" t="inlineStr">
        <is>
          <t>No</t>
        </is>
      </c>
      <c r="B32" t="inlineStr">
        <is>
          <t>QD1 .A355 no.164</t>
        </is>
      </c>
      <c r="C32" t="inlineStr">
        <is>
          <t>0                      QD 0001000A  355                                                     no.164</t>
        </is>
      </c>
      <c r="D32" t="inlineStr">
        <is>
          <t>Preservation of paper and textiles of historic and artistic value : a symposium sponsored by the Cellulose, Paper, and Textile Division at the 172nd meeting of the American Chemical Society, San Francisco, Calif., Aug. 30-31, 1976 / John C. Williams, editor.</t>
        </is>
      </c>
      <c r="E32" t="inlineStr">
        <is>
          <t>no.164*</t>
        </is>
      </c>
      <c r="F32" t="inlineStr">
        <is>
          <t>No</t>
        </is>
      </c>
      <c r="G32" t="inlineStr">
        <is>
          <t>1</t>
        </is>
      </c>
      <c r="H32" t="inlineStr">
        <is>
          <t>No</t>
        </is>
      </c>
      <c r="I32" t="inlineStr">
        <is>
          <t>No</t>
        </is>
      </c>
      <c r="J32" t="inlineStr">
        <is>
          <t>0</t>
        </is>
      </c>
      <c r="L32" t="inlineStr">
        <is>
          <t>Washington : American Chemical Society, 1977.</t>
        </is>
      </c>
      <c r="M32" t="inlineStr">
        <is>
          <t>1977</t>
        </is>
      </c>
      <c r="O32" t="inlineStr">
        <is>
          <t>eng</t>
        </is>
      </c>
      <c r="P32" t="inlineStr">
        <is>
          <t>dcu</t>
        </is>
      </c>
      <c r="Q32" t="inlineStr">
        <is>
          <t>Advances in chemistry series, 0065-2393 ; 164</t>
        </is>
      </c>
      <c r="R32" t="inlineStr">
        <is>
          <t xml:space="preserve">QD </t>
        </is>
      </c>
      <c r="S32" t="n">
        <v>2</v>
      </c>
      <c r="T32" t="n">
        <v>2</v>
      </c>
      <c r="U32" t="inlineStr">
        <is>
          <t>1998-07-23</t>
        </is>
      </c>
      <c r="V32" t="inlineStr">
        <is>
          <t>1998-07-23</t>
        </is>
      </c>
      <c r="W32" t="inlineStr">
        <is>
          <t>1993-05-13</t>
        </is>
      </c>
      <c r="X32" t="inlineStr">
        <is>
          <t>1993-05-13</t>
        </is>
      </c>
      <c r="Y32" t="n">
        <v>679</v>
      </c>
      <c r="Z32" t="n">
        <v>562</v>
      </c>
      <c r="AA32" t="n">
        <v>569</v>
      </c>
      <c r="AB32" t="n">
        <v>3</v>
      </c>
      <c r="AC32" t="n">
        <v>3</v>
      </c>
      <c r="AD32" t="n">
        <v>11</v>
      </c>
      <c r="AE32" t="n">
        <v>11</v>
      </c>
      <c r="AF32" t="n">
        <v>3</v>
      </c>
      <c r="AG32" t="n">
        <v>3</v>
      </c>
      <c r="AH32" t="n">
        <v>4</v>
      </c>
      <c r="AI32" t="n">
        <v>4</v>
      </c>
      <c r="AJ32" t="n">
        <v>5</v>
      </c>
      <c r="AK32" t="n">
        <v>5</v>
      </c>
      <c r="AL32" t="n">
        <v>2</v>
      </c>
      <c r="AM32" t="n">
        <v>2</v>
      </c>
      <c r="AN32" t="n">
        <v>0</v>
      </c>
      <c r="AO32" t="n">
        <v>0</v>
      </c>
      <c r="AP32" t="inlineStr">
        <is>
          <t>No</t>
        </is>
      </c>
      <c r="AQ32" t="inlineStr">
        <is>
          <t>Yes</t>
        </is>
      </c>
      <c r="AR32">
        <f>HYPERLINK("http://catalog.hathitrust.org/Record/000227826","HathiTrust Record")</f>
        <v/>
      </c>
      <c r="AS32">
        <f>HYPERLINK("https://creighton-primo.hosted.exlibrisgroup.com/primo-explore/search?tab=default_tab&amp;search_scope=EVERYTHING&amp;vid=01CRU&amp;lang=en_US&amp;offset=0&amp;query=any,contains,991005370949702656","Catalog Record")</f>
        <v/>
      </c>
      <c r="AT32">
        <f>HYPERLINK("http://www.worldcat.org/oclc/3292834","WorldCat Record")</f>
        <v/>
      </c>
      <c r="AU32" t="inlineStr">
        <is>
          <t>5612648256:eng</t>
        </is>
      </c>
      <c r="AV32" t="inlineStr">
        <is>
          <t>3292834</t>
        </is>
      </c>
      <c r="AW32" t="inlineStr">
        <is>
          <t>991005370949702656</t>
        </is>
      </c>
      <c r="AX32" t="inlineStr">
        <is>
          <t>991005370949702656</t>
        </is>
      </c>
      <c r="AY32" t="inlineStr">
        <is>
          <t>2269454890002656</t>
        </is>
      </c>
      <c r="AZ32" t="inlineStr">
        <is>
          <t>BOOK</t>
        </is>
      </c>
      <c r="BB32" t="inlineStr">
        <is>
          <t>9780841203600</t>
        </is>
      </c>
      <c r="BC32" t="inlineStr">
        <is>
          <t>32285001654101</t>
        </is>
      </c>
      <c r="BD32" t="inlineStr">
        <is>
          <t>893508150</t>
        </is>
      </c>
    </row>
    <row r="33">
      <c r="A33" t="inlineStr">
        <is>
          <t>No</t>
        </is>
      </c>
      <c r="B33" t="inlineStr">
        <is>
          <t>QD1 .A355 no.165</t>
        </is>
      </c>
      <c r="C33" t="inlineStr">
        <is>
          <t>0                      QD 0001000A  355                                                     no.165</t>
        </is>
      </c>
      <c r="D33" t="inlineStr">
        <is>
          <t>New uses of sulfur, II : a symposium / sponsored by the Division of Industrial and Engineering Chemistry at the 173rd meeting of the American Chemical Society, New Orleans, La., March 22-23, 1977 ; Douglas J. Bourne, editor.</t>
        </is>
      </c>
      <c r="E33" t="inlineStr">
        <is>
          <t>no.165*</t>
        </is>
      </c>
      <c r="F33" t="inlineStr">
        <is>
          <t>No</t>
        </is>
      </c>
      <c r="G33" t="inlineStr">
        <is>
          <t>1</t>
        </is>
      </c>
      <c r="H33" t="inlineStr">
        <is>
          <t>No</t>
        </is>
      </c>
      <c r="I33" t="inlineStr">
        <is>
          <t>No</t>
        </is>
      </c>
      <c r="J33" t="inlineStr">
        <is>
          <t>0</t>
        </is>
      </c>
      <c r="K33" t="inlineStr">
        <is>
          <t>Symposium on Sulfur Utilization: a Progress Report (1977 : New Orleans, La.)</t>
        </is>
      </c>
      <c r="L33" t="inlineStr">
        <is>
          <t>Washington : American Chemical Society, 1978.</t>
        </is>
      </c>
      <c r="M33" t="inlineStr">
        <is>
          <t>1978</t>
        </is>
      </c>
      <c r="O33" t="inlineStr">
        <is>
          <t>eng</t>
        </is>
      </c>
      <c r="P33" t="inlineStr">
        <is>
          <t>dcu</t>
        </is>
      </c>
      <c r="Q33" t="inlineStr">
        <is>
          <t>Advances in chemistry series, 0065-2393 ; 165</t>
        </is>
      </c>
      <c r="R33" t="inlineStr">
        <is>
          <t xml:space="preserve">QD </t>
        </is>
      </c>
      <c r="S33" t="n">
        <v>3</v>
      </c>
      <c r="T33" t="n">
        <v>3</v>
      </c>
      <c r="U33" t="inlineStr">
        <is>
          <t>1998-07-23</t>
        </is>
      </c>
      <c r="V33" t="inlineStr">
        <is>
          <t>1998-07-23</t>
        </is>
      </c>
      <c r="W33" t="inlineStr">
        <is>
          <t>1993-05-14</t>
        </is>
      </c>
      <c r="X33" t="inlineStr">
        <is>
          <t>1993-05-14</t>
        </is>
      </c>
      <c r="Y33" t="n">
        <v>332</v>
      </c>
      <c r="Z33" t="n">
        <v>271</v>
      </c>
      <c r="AA33" t="n">
        <v>281</v>
      </c>
      <c r="AB33" t="n">
        <v>2</v>
      </c>
      <c r="AC33" t="n">
        <v>2</v>
      </c>
      <c r="AD33" t="n">
        <v>8</v>
      </c>
      <c r="AE33" t="n">
        <v>8</v>
      </c>
      <c r="AF33" t="n">
        <v>1</v>
      </c>
      <c r="AG33" t="n">
        <v>1</v>
      </c>
      <c r="AH33" t="n">
        <v>4</v>
      </c>
      <c r="AI33" t="n">
        <v>4</v>
      </c>
      <c r="AJ33" t="n">
        <v>5</v>
      </c>
      <c r="AK33" t="n">
        <v>5</v>
      </c>
      <c r="AL33" t="n">
        <v>1</v>
      </c>
      <c r="AM33" t="n">
        <v>1</v>
      </c>
      <c r="AN33" t="n">
        <v>0</v>
      </c>
      <c r="AO33" t="n">
        <v>0</v>
      </c>
      <c r="AP33" t="inlineStr">
        <is>
          <t>No</t>
        </is>
      </c>
      <c r="AQ33" t="inlineStr">
        <is>
          <t>Yes</t>
        </is>
      </c>
      <c r="AR33">
        <f>HYPERLINK("http://catalog.hathitrust.org/Record/000092034","HathiTrust Record")</f>
        <v/>
      </c>
      <c r="AS33">
        <f>HYPERLINK("https://creighton-primo.hosted.exlibrisgroup.com/primo-explore/search?tab=default_tab&amp;search_scope=EVERYTHING&amp;vid=01CRU&amp;lang=en_US&amp;offset=0&amp;query=any,contains,991005371379702656","Catalog Record")</f>
        <v/>
      </c>
      <c r="AT33">
        <f>HYPERLINK("http://www.worldcat.org/oclc/3627187","WorldCat Record")</f>
        <v/>
      </c>
      <c r="AU33" t="inlineStr">
        <is>
          <t>807809921:eng</t>
        </is>
      </c>
      <c r="AV33" t="inlineStr">
        <is>
          <t>3627187</t>
        </is>
      </c>
      <c r="AW33" t="inlineStr">
        <is>
          <t>991005371379702656</t>
        </is>
      </c>
      <c r="AX33" t="inlineStr">
        <is>
          <t>991005371379702656</t>
        </is>
      </c>
      <c r="AY33" t="inlineStr">
        <is>
          <t>2269363660002656</t>
        </is>
      </c>
      <c r="AZ33" t="inlineStr">
        <is>
          <t>BOOK</t>
        </is>
      </c>
      <c r="BB33" t="inlineStr">
        <is>
          <t>9780841203914</t>
        </is>
      </c>
      <c r="BC33" t="inlineStr">
        <is>
          <t>32285001657088</t>
        </is>
      </c>
      <c r="BD33" t="inlineStr">
        <is>
          <t>893501915</t>
        </is>
      </c>
    </row>
    <row r="34">
      <c r="A34" t="inlineStr">
        <is>
          <t>No</t>
        </is>
      </c>
      <c r="B34" t="inlineStr">
        <is>
          <t>QD1 .A355 no.168</t>
        </is>
      </c>
      <c r="C34" t="inlineStr">
        <is>
          <t>0                      QD 0001000A  355                                                     no.168</t>
        </is>
      </c>
      <c r="D34" t="inlineStr">
        <is>
          <t>Inorganic and organometallic photochemistry : a symposium / sponsored by the Division of Inorganic Chemistry at the 174th meeting of the American Chemical Society, Chicago, Illinois, August 31-September 1, 1977 ; Mark Wrighton, editor. --</t>
        </is>
      </c>
      <c r="E34" t="inlineStr">
        <is>
          <t>no.168*</t>
        </is>
      </c>
      <c r="F34" t="inlineStr">
        <is>
          <t>No</t>
        </is>
      </c>
      <c r="G34" t="inlineStr">
        <is>
          <t>1</t>
        </is>
      </c>
      <c r="H34" t="inlineStr">
        <is>
          <t>No</t>
        </is>
      </c>
      <c r="I34" t="inlineStr">
        <is>
          <t>No</t>
        </is>
      </c>
      <c r="J34" t="inlineStr">
        <is>
          <t>0</t>
        </is>
      </c>
      <c r="L34" t="inlineStr">
        <is>
          <t>Washington : American Chemical Society, 1978.</t>
        </is>
      </c>
      <c r="M34" t="inlineStr">
        <is>
          <t>1978</t>
        </is>
      </c>
      <c r="O34" t="inlineStr">
        <is>
          <t>eng</t>
        </is>
      </c>
      <c r="P34" t="inlineStr">
        <is>
          <t>dcu</t>
        </is>
      </c>
      <c r="Q34" t="inlineStr">
        <is>
          <t>Advances in chemistry series, 0065-2393 ; 168</t>
        </is>
      </c>
      <c r="R34" t="inlineStr">
        <is>
          <t xml:space="preserve">QD </t>
        </is>
      </c>
      <c r="S34" t="n">
        <v>1</v>
      </c>
      <c r="T34" t="n">
        <v>1</v>
      </c>
      <c r="U34" t="inlineStr">
        <is>
          <t>1998-07-23</t>
        </is>
      </c>
      <c r="V34" t="inlineStr">
        <is>
          <t>1998-07-23</t>
        </is>
      </c>
      <c r="W34" t="inlineStr">
        <is>
          <t>1993-05-14</t>
        </is>
      </c>
      <c r="X34" t="inlineStr">
        <is>
          <t>1993-05-14</t>
        </is>
      </c>
      <c r="Y34" t="n">
        <v>415</v>
      </c>
      <c r="Z34" t="n">
        <v>333</v>
      </c>
      <c r="AA34" t="n">
        <v>369</v>
      </c>
      <c r="AB34" t="n">
        <v>2</v>
      </c>
      <c r="AC34" t="n">
        <v>2</v>
      </c>
      <c r="AD34" t="n">
        <v>12</v>
      </c>
      <c r="AE34" t="n">
        <v>12</v>
      </c>
      <c r="AF34" t="n">
        <v>4</v>
      </c>
      <c r="AG34" t="n">
        <v>4</v>
      </c>
      <c r="AH34" t="n">
        <v>4</v>
      </c>
      <c r="AI34" t="n">
        <v>4</v>
      </c>
      <c r="AJ34" t="n">
        <v>6</v>
      </c>
      <c r="AK34" t="n">
        <v>6</v>
      </c>
      <c r="AL34" t="n">
        <v>1</v>
      </c>
      <c r="AM34" t="n">
        <v>1</v>
      </c>
      <c r="AN34" t="n">
        <v>0</v>
      </c>
      <c r="AO34" t="n">
        <v>0</v>
      </c>
      <c r="AP34" t="inlineStr">
        <is>
          <t>No</t>
        </is>
      </c>
      <c r="AQ34" t="inlineStr">
        <is>
          <t>No</t>
        </is>
      </c>
      <c r="AS34">
        <f>HYPERLINK("https://creighton-primo.hosted.exlibrisgroup.com/primo-explore/search?tab=default_tab&amp;search_scope=EVERYTHING&amp;vid=01CRU&amp;lang=en_US&amp;offset=0&amp;query=any,contains,991005371899702656","Catalog Record")</f>
        <v/>
      </c>
      <c r="AT34">
        <f>HYPERLINK("http://www.worldcat.org/oclc/3966069","WorldCat Record")</f>
        <v/>
      </c>
      <c r="AU34" t="inlineStr">
        <is>
          <t>808857907:eng</t>
        </is>
      </c>
      <c r="AV34" t="inlineStr">
        <is>
          <t>3966069</t>
        </is>
      </c>
      <c r="AW34" t="inlineStr">
        <is>
          <t>991005371899702656</t>
        </is>
      </c>
      <c r="AX34" t="inlineStr">
        <is>
          <t>991005371899702656</t>
        </is>
      </c>
      <c r="AY34" t="inlineStr">
        <is>
          <t>2263808750002656</t>
        </is>
      </c>
      <c r="AZ34" t="inlineStr">
        <is>
          <t>BOOK</t>
        </is>
      </c>
      <c r="BB34" t="inlineStr">
        <is>
          <t>9780841203983</t>
        </is>
      </c>
      <c r="BC34" t="inlineStr">
        <is>
          <t>32285001657112</t>
        </is>
      </c>
      <c r="BD34" t="inlineStr">
        <is>
          <t>893332856</t>
        </is>
      </c>
    </row>
    <row r="35">
      <c r="A35" t="inlineStr">
        <is>
          <t>No</t>
        </is>
      </c>
      <c r="B35" t="inlineStr">
        <is>
          <t>QD1 .A355 no.169</t>
        </is>
      </c>
      <c r="C35" t="inlineStr">
        <is>
          <t>0                      QD 0001000A  355                                                     no.169</t>
        </is>
      </c>
      <c r="D35" t="inlineStr">
        <is>
          <t>Stabilization and degradation of polymers : based on a symposium sponsored by the Division of Polymer Chemistry at the 173rd meeting of the American Chemical Society, New Orleans, Louisiana, March 21-25, 1977 / David L. Allara and Walter L. Hawkins, editors. --</t>
        </is>
      </c>
      <c r="E35" t="inlineStr">
        <is>
          <t>no.169*</t>
        </is>
      </c>
      <c r="F35" t="inlineStr">
        <is>
          <t>No</t>
        </is>
      </c>
      <c r="G35" t="inlineStr">
        <is>
          <t>1</t>
        </is>
      </c>
      <c r="H35" t="inlineStr">
        <is>
          <t>No</t>
        </is>
      </c>
      <c r="I35" t="inlineStr">
        <is>
          <t>No</t>
        </is>
      </c>
      <c r="J35" t="inlineStr">
        <is>
          <t>0</t>
        </is>
      </c>
      <c r="L35" t="inlineStr">
        <is>
          <t>Washington : American Chemical Society, 1978.</t>
        </is>
      </c>
      <c r="M35" t="inlineStr">
        <is>
          <t>1978</t>
        </is>
      </c>
      <c r="O35" t="inlineStr">
        <is>
          <t>eng</t>
        </is>
      </c>
      <c r="P35" t="inlineStr">
        <is>
          <t>dcu</t>
        </is>
      </c>
      <c r="Q35" t="inlineStr">
        <is>
          <t>Advances in chemistry series, [0065-2393] ; v. 169</t>
        </is>
      </c>
      <c r="R35" t="inlineStr">
        <is>
          <t xml:space="preserve">QD </t>
        </is>
      </c>
      <c r="S35" t="n">
        <v>1</v>
      </c>
      <c r="T35" t="n">
        <v>1</v>
      </c>
      <c r="U35" t="inlineStr">
        <is>
          <t>1998-07-23</t>
        </is>
      </c>
      <c r="V35" t="inlineStr">
        <is>
          <t>1998-07-23</t>
        </is>
      </c>
      <c r="W35" t="inlineStr">
        <is>
          <t>1993-05-14</t>
        </is>
      </c>
      <c r="X35" t="inlineStr">
        <is>
          <t>1993-05-14</t>
        </is>
      </c>
      <c r="Y35" t="n">
        <v>353</v>
      </c>
      <c r="Z35" t="n">
        <v>275</v>
      </c>
      <c r="AA35" t="n">
        <v>315</v>
      </c>
      <c r="AB35" t="n">
        <v>2</v>
      </c>
      <c r="AC35" t="n">
        <v>2</v>
      </c>
      <c r="AD35" t="n">
        <v>9</v>
      </c>
      <c r="AE35" t="n">
        <v>9</v>
      </c>
      <c r="AF35" t="n">
        <v>2</v>
      </c>
      <c r="AG35" t="n">
        <v>2</v>
      </c>
      <c r="AH35" t="n">
        <v>4</v>
      </c>
      <c r="AI35" t="n">
        <v>4</v>
      </c>
      <c r="AJ35" t="n">
        <v>5</v>
      </c>
      <c r="AK35" t="n">
        <v>5</v>
      </c>
      <c r="AL35" t="n">
        <v>1</v>
      </c>
      <c r="AM35" t="n">
        <v>1</v>
      </c>
      <c r="AN35" t="n">
        <v>0</v>
      </c>
      <c r="AO35" t="n">
        <v>0</v>
      </c>
      <c r="AP35" t="inlineStr">
        <is>
          <t>No</t>
        </is>
      </c>
      <c r="AQ35" t="inlineStr">
        <is>
          <t>Yes</t>
        </is>
      </c>
      <c r="AR35">
        <f>HYPERLINK("http://catalog.hathitrust.org/Record/000256390","HathiTrust Record")</f>
        <v/>
      </c>
      <c r="AS35">
        <f>HYPERLINK("https://creighton-primo.hosted.exlibrisgroup.com/primo-explore/search?tab=default_tab&amp;search_scope=EVERYTHING&amp;vid=01CRU&amp;lang=en_US&amp;offset=0&amp;query=any,contains,991005372459702656","Catalog Record")</f>
        <v/>
      </c>
      <c r="AT35">
        <f>HYPERLINK("http://www.worldcat.org/oclc/4496116","WorldCat Record")</f>
        <v/>
      </c>
      <c r="AU35" t="inlineStr">
        <is>
          <t>806763045:eng</t>
        </is>
      </c>
      <c r="AV35" t="inlineStr">
        <is>
          <t>4496116</t>
        </is>
      </c>
      <c r="AW35" t="inlineStr">
        <is>
          <t>991005372459702656</t>
        </is>
      </c>
      <c r="AX35" t="inlineStr">
        <is>
          <t>991005372459702656</t>
        </is>
      </c>
      <c r="AY35" t="inlineStr">
        <is>
          <t>2268729540002656</t>
        </is>
      </c>
      <c r="AZ35" t="inlineStr">
        <is>
          <t>BOOK</t>
        </is>
      </c>
      <c r="BB35" t="inlineStr">
        <is>
          <t>9780841203815</t>
        </is>
      </c>
      <c r="BC35" t="inlineStr">
        <is>
          <t>32285001657120</t>
        </is>
      </c>
      <c r="BD35" t="inlineStr">
        <is>
          <t>893351176</t>
        </is>
      </c>
    </row>
    <row r="36">
      <c r="A36" t="inlineStr">
        <is>
          <t>No</t>
        </is>
      </c>
      <c r="B36" t="inlineStr">
        <is>
          <t>QD1 .A355 no.171</t>
        </is>
      </c>
      <c r="C36" t="inlineStr">
        <is>
          <t>0                      QD 0001000A  355                                                     no.171</t>
        </is>
      </c>
      <c r="D36" t="inlineStr">
        <is>
          <t>Archaeological chemistry--II : [proceedings] / Giles F. Carter, editor.</t>
        </is>
      </c>
      <c r="E36" t="inlineStr">
        <is>
          <t>no.171*</t>
        </is>
      </c>
      <c r="F36" t="inlineStr">
        <is>
          <t>No</t>
        </is>
      </c>
      <c r="G36" t="inlineStr">
        <is>
          <t>1</t>
        </is>
      </c>
      <c r="H36" t="inlineStr">
        <is>
          <t>No</t>
        </is>
      </c>
      <c r="I36" t="inlineStr">
        <is>
          <t>No</t>
        </is>
      </c>
      <c r="J36" t="inlineStr">
        <is>
          <t>0</t>
        </is>
      </c>
      <c r="K36" t="inlineStr">
        <is>
          <t>Symposium on Archaeological Chemistry (6th : 1977 : Chicago, Ill.)</t>
        </is>
      </c>
      <c r="L36" t="inlineStr">
        <is>
          <t>Washington : American Chemical Society, 1978.</t>
        </is>
      </c>
      <c r="M36" t="inlineStr">
        <is>
          <t>1978</t>
        </is>
      </c>
      <c r="O36" t="inlineStr">
        <is>
          <t>eng</t>
        </is>
      </c>
      <c r="P36" t="inlineStr">
        <is>
          <t>dcu</t>
        </is>
      </c>
      <c r="Q36" t="inlineStr">
        <is>
          <t>Advances in chemistry series, 0065-2393 ; 171</t>
        </is>
      </c>
      <c r="R36" t="inlineStr">
        <is>
          <t xml:space="preserve">QD </t>
        </is>
      </c>
      <c r="S36" t="n">
        <v>2</v>
      </c>
      <c r="T36" t="n">
        <v>2</v>
      </c>
      <c r="U36" t="inlineStr">
        <is>
          <t>1998-07-23</t>
        </is>
      </c>
      <c r="V36" t="inlineStr">
        <is>
          <t>1998-07-23</t>
        </is>
      </c>
      <c r="W36" t="inlineStr">
        <is>
          <t>1993-05-14</t>
        </is>
      </c>
      <c r="X36" t="inlineStr">
        <is>
          <t>1993-05-14</t>
        </is>
      </c>
      <c r="Y36" t="n">
        <v>545</v>
      </c>
      <c r="Z36" t="n">
        <v>448</v>
      </c>
      <c r="AA36" t="n">
        <v>483</v>
      </c>
      <c r="AB36" t="n">
        <v>3</v>
      </c>
      <c r="AC36" t="n">
        <v>3</v>
      </c>
      <c r="AD36" t="n">
        <v>17</v>
      </c>
      <c r="AE36" t="n">
        <v>17</v>
      </c>
      <c r="AF36" t="n">
        <v>5</v>
      </c>
      <c r="AG36" t="n">
        <v>5</v>
      </c>
      <c r="AH36" t="n">
        <v>5</v>
      </c>
      <c r="AI36" t="n">
        <v>5</v>
      </c>
      <c r="AJ36" t="n">
        <v>10</v>
      </c>
      <c r="AK36" t="n">
        <v>10</v>
      </c>
      <c r="AL36" t="n">
        <v>2</v>
      </c>
      <c r="AM36" t="n">
        <v>2</v>
      </c>
      <c r="AN36" t="n">
        <v>0</v>
      </c>
      <c r="AO36" t="n">
        <v>0</v>
      </c>
      <c r="AP36" t="inlineStr">
        <is>
          <t>No</t>
        </is>
      </c>
      <c r="AQ36" t="inlineStr">
        <is>
          <t>No</t>
        </is>
      </c>
      <c r="AS36">
        <f>HYPERLINK("https://creighton-primo.hosted.exlibrisgroup.com/primo-explore/search?tab=default_tab&amp;search_scope=EVERYTHING&amp;vid=01CRU&amp;lang=en_US&amp;offset=0&amp;query=any,contains,991005372449702656","Catalog Record")</f>
        <v/>
      </c>
      <c r="AT36">
        <f>HYPERLINK("http://www.worldcat.org/oclc/4494396","WorldCat Record")</f>
        <v/>
      </c>
      <c r="AU36" t="inlineStr">
        <is>
          <t>505079:eng</t>
        </is>
      </c>
      <c r="AV36" t="inlineStr">
        <is>
          <t>4494396</t>
        </is>
      </c>
      <c r="AW36" t="inlineStr">
        <is>
          <t>991005372449702656</t>
        </is>
      </c>
      <c r="AX36" t="inlineStr">
        <is>
          <t>991005372449702656</t>
        </is>
      </c>
      <c r="AY36" t="inlineStr">
        <is>
          <t>2267625040002656</t>
        </is>
      </c>
      <c r="AZ36" t="inlineStr">
        <is>
          <t>BOOK</t>
        </is>
      </c>
      <c r="BB36" t="inlineStr">
        <is>
          <t>9780841203976</t>
        </is>
      </c>
      <c r="BC36" t="inlineStr">
        <is>
          <t>32285001657138</t>
        </is>
      </c>
      <c r="BD36" t="inlineStr">
        <is>
          <t>893261043</t>
        </is>
      </c>
    </row>
    <row r="37">
      <c r="A37" t="inlineStr">
        <is>
          <t>No</t>
        </is>
      </c>
      <c r="B37" t="inlineStr">
        <is>
          <t>QD1 .A355 no.172</t>
        </is>
      </c>
      <c r="C37" t="inlineStr">
        <is>
          <t>0                      QD 0001000A  355                                                     no.172</t>
        </is>
      </c>
      <c r="D37" t="inlineStr">
        <is>
          <t>Ultratrace metal analysis in biological sciences and environment : a symposium / sponsored by the Division of Analytical Chemistry at the 174th meeting of the American Chemical Society, Chicago, Illinois, August 29-30, 1977 ; Terence H. Risby, editor.</t>
        </is>
      </c>
      <c r="E37" t="inlineStr">
        <is>
          <t>no.172*</t>
        </is>
      </c>
      <c r="F37" t="inlineStr">
        <is>
          <t>No</t>
        </is>
      </c>
      <c r="G37" t="inlineStr">
        <is>
          <t>1</t>
        </is>
      </c>
      <c r="H37" t="inlineStr">
        <is>
          <t>No</t>
        </is>
      </c>
      <c r="I37" t="inlineStr">
        <is>
          <t>No</t>
        </is>
      </c>
      <c r="J37" t="inlineStr">
        <is>
          <t>0</t>
        </is>
      </c>
      <c r="L37" t="inlineStr">
        <is>
          <t>Washington : The Society, 1979.</t>
        </is>
      </c>
      <c r="M37" t="inlineStr">
        <is>
          <t>1979</t>
        </is>
      </c>
      <c r="O37" t="inlineStr">
        <is>
          <t>eng</t>
        </is>
      </c>
      <c r="P37" t="inlineStr">
        <is>
          <t>dcu</t>
        </is>
      </c>
      <c r="Q37" t="inlineStr">
        <is>
          <t>Advances in chemistry series, 0065-2393 ; 172</t>
        </is>
      </c>
      <c r="R37" t="inlineStr">
        <is>
          <t xml:space="preserve">QD </t>
        </is>
      </c>
      <c r="S37" t="n">
        <v>1</v>
      </c>
      <c r="T37" t="n">
        <v>1</v>
      </c>
      <c r="U37" t="inlineStr">
        <is>
          <t>1998-07-23</t>
        </is>
      </c>
      <c r="V37" t="inlineStr">
        <is>
          <t>1998-07-23</t>
        </is>
      </c>
      <c r="W37" t="inlineStr">
        <is>
          <t>1993-05-14</t>
        </is>
      </c>
      <c r="X37" t="inlineStr">
        <is>
          <t>1993-05-14</t>
        </is>
      </c>
      <c r="Y37" t="n">
        <v>459</v>
      </c>
      <c r="Z37" t="n">
        <v>378</v>
      </c>
      <c r="AA37" t="n">
        <v>413</v>
      </c>
      <c r="AB37" t="n">
        <v>3</v>
      </c>
      <c r="AC37" t="n">
        <v>3</v>
      </c>
      <c r="AD37" t="n">
        <v>12</v>
      </c>
      <c r="AE37" t="n">
        <v>13</v>
      </c>
      <c r="AF37" t="n">
        <v>3</v>
      </c>
      <c r="AG37" t="n">
        <v>3</v>
      </c>
      <c r="AH37" t="n">
        <v>3</v>
      </c>
      <c r="AI37" t="n">
        <v>4</v>
      </c>
      <c r="AJ37" t="n">
        <v>6</v>
      </c>
      <c r="AK37" t="n">
        <v>7</v>
      </c>
      <c r="AL37" t="n">
        <v>2</v>
      </c>
      <c r="AM37" t="n">
        <v>2</v>
      </c>
      <c r="AN37" t="n">
        <v>0</v>
      </c>
      <c r="AO37" t="n">
        <v>0</v>
      </c>
      <c r="AP37" t="inlineStr">
        <is>
          <t>No</t>
        </is>
      </c>
      <c r="AQ37" t="inlineStr">
        <is>
          <t>Yes</t>
        </is>
      </c>
      <c r="AR37">
        <f>HYPERLINK("http://catalog.hathitrust.org/Record/000259321","HathiTrust Record")</f>
        <v/>
      </c>
      <c r="AS37">
        <f>HYPERLINK("https://creighton-primo.hosted.exlibrisgroup.com/primo-explore/search?tab=default_tab&amp;search_scope=EVERYTHING&amp;vid=01CRU&amp;lang=en_US&amp;offset=0&amp;query=any,contains,991005373239702656","Catalog Record")</f>
        <v/>
      </c>
      <c r="AT37">
        <f>HYPERLINK("http://www.worldcat.org/oclc/4593625","WorldCat Record")</f>
        <v/>
      </c>
      <c r="AU37" t="inlineStr">
        <is>
          <t>806763040:eng</t>
        </is>
      </c>
      <c r="AV37" t="inlineStr">
        <is>
          <t>4593625</t>
        </is>
      </c>
      <c r="AW37" t="inlineStr">
        <is>
          <t>991005373239702656</t>
        </is>
      </c>
      <c r="AX37" t="inlineStr">
        <is>
          <t>991005373239702656</t>
        </is>
      </c>
      <c r="AY37" t="inlineStr">
        <is>
          <t>2271381460002656</t>
        </is>
      </c>
      <c r="AZ37" t="inlineStr">
        <is>
          <t>BOOK</t>
        </is>
      </c>
      <c r="BB37" t="inlineStr">
        <is>
          <t>9780841204164</t>
        </is>
      </c>
      <c r="BC37" t="inlineStr">
        <is>
          <t>32285001657146</t>
        </is>
      </c>
      <c r="BD37" t="inlineStr">
        <is>
          <t>893431421</t>
        </is>
      </c>
    </row>
    <row r="38">
      <c r="A38" t="inlineStr">
        <is>
          <t>No</t>
        </is>
      </c>
      <c r="B38" t="inlineStr">
        <is>
          <t>QD1 .A355 no.173.</t>
        </is>
      </c>
      <c r="C38" t="inlineStr">
        <is>
          <t>0                      QD 0001000A  355                                                     no.173.</t>
        </is>
      </c>
      <c r="D38" t="inlineStr">
        <is>
          <t>Inorganic compounds with unusual properties--II : a symposium / sponsored by the Division of Inorganic Chemistry at the inorganic chemistry symposium, Athens, Georgia, February 1-3, 1978 ; R. Bruce King, editor.</t>
        </is>
      </c>
      <c r="E38" t="inlineStr">
        <is>
          <t>no.173.*</t>
        </is>
      </c>
      <c r="F38" t="inlineStr">
        <is>
          <t>No</t>
        </is>
      </c>
      <c r="G38" t="inlineStr">
        <is>
          <t>1</t>
        </is>
      </c>
      <c r="H38" t="inlineStr">
        <is>
          <t>No</t>
        </is>
      </c>
      <c r="I38" t="inlineStr">
        <is>
          <t>No</t>
        </is>
      </c>
      <c r="J38" t="inlineStr">
        <is>
          <t>0</t>
        </is>
      </c>
      <c r="L38" t="inlineStr">
        <is>
          <t>Washington : American Chemical Society, 1979.</t>
        </is>
      </c>
      <c r="M38" t="inlineStr">
        <is>
          <t>1979</t>
        </is>
      </c>
      <c r="O38" t="inlineStr">
        <is>
          <t>eng</t>
        </is>
      </c>
      <c r="P38" t="inlineStr">
        <is>
          <t>dcu</t>
        </is>
      </c>
      <c r="Q38" t="inlineStr">
        <is>
          <t>Advances in chemistry series, 0065-2393 ; v. 173</t>
        </is>
      </c>
      <c r="R38" t="inlineStr">
        <is>
          <t xml:space="preserve">QD </t>
        </is>
      </c>
      <c r="S38" t="n">
        <v>1</v>
      </c>
      <c r="T38" t="n">
        <v>1</v>
      </c>
      <c r="U38" t="inlineStr">
        <is>
          <t>1998-07-23</t>
        </is>
      </c>
      <c r="V38" t="inlineStr">
        <is>
          <t>1998-07-23</t>
        </is>
      </c>
      <c r="W38" t="inlineStr">
        <is>
          <t>1993-05-14</t>
        </is>
      </c>
      <c r="X38" t="inlineStr">
        <is>
          <t>1993-05-14</t>
        </is>
      </c>
      <c r="Y38" t="n">
        <v>417</v>
      </c>
      <c r="Z38" t="n">
        <v>345</v>
      </c>
      <c r="AA38" t="n">
        <v>362</v>
      </c>
      <c r="AB38" t="n">
        <v>3</v>
      </c>
      <c r="AC38" t="n">
        <v>3</v>
      </c>
      <c r="AD38" t="n">
        <v>12</v>
      </c>
      <c r="AE38" t="n">
        <v>12</v>
      </c>
      <c r="AF38" t="n">
        <v>2</v>
      </c>
      <c r="AG38" t="n">
        <v>2</v>
      </c>
      <c r="AH38" t="n">
        <v>4</v>
      </c>
      <c r="AI38" t="n">
        <v>4</v>
      </c>
      <c r="AJ38" t="n">
        <v>8</v>
      </c>
      <c r="AK38" t="n">
        <v>8</v>
      </c>
      <c r="AL38" t="n">
        <v>2</v>
      </c>
      <c r="AM38" t="n">
        <v>2</v>
      </c>
      <c r="AN38" t="n">
        <v>0</v>
      </c>
      <c r="AO38" t="n">
        <v>0</v>
      </c>
      <c r="AP38" t="inlineStr">
        <is>
          <t>No</t>
        </is>
      </c>
      <c r="AQ38" t="inlineStr">
        <is>
          <t>Yes</t>
        </is>
      </c>
      <c r="AR38">
        <f>HYPERLINK("http://catalog.hathitrust.org/Record/000259322","HathiTrust Record")</f>
        <v/>
      </c>
      <c r="AS38">
        <f>HYPERLINK("https://creighton-primo.hosted.exlibrisgroup.com/primo-explore/search?tab=default_tab&amp;search_scope=EVERYTHING&amp;vid=01CRU&amp;lang=en_US&amp;offset=0&amp;query=any,contains,991005373349702656","Catalog Record")</f>
        <v/>
      </c>
      <c r="AT38">
        <f>HYPERLINK("http://www.worldcat.org/oclc/4593627","WorldCat Record")</f>
        <v/>
      </c>
      <c r="AU38" t="inlineStr">
        <is>
          <t>4160613157:eng</t>
        </is>
      </c>
      <c r="AV38" t="inlineStr">
        <is>
          <t>4593627</t>
        </is>
      </c>
      <c r="AW38" t="inlineStr">
        <is>
          <t>991005373349702656</t>
        </is>
      </c>
      <c r="AX38" t="inlineStr">
        <is>
          <t>991005373349702656</t>
        </is>
      </c>
      <c r="AY38" t="inlineStr">
        <is>
          <t>2271381810002656</t>
        </is>
      </c>
      <c r="AZ38" t="inlineStr">
        <is>
          <t>BOOK</t>
        </is>
      </c>
      <c r="BB38" t="inlineStr">
        <is>
          <t>9780841204294</t>
        </is>
      </c>
      <c r="BC38" t="inlineStr">
        <is>
          <t>32285001657153</t>
        </is>
      </c>
      <c r="BD38" t="inlineStr">
        <is>
          <t>893789915</t>
        </is>
      </c>
    </row>
    <row r="39">
      <c r="A39" t="inlineStr">
        <is>
          <t>No</t>
        </is>
      </c>
      <c r="B39" t="inlineStr">
        <is>
          <t>QD1 .A355 no.174</t>
        </is>
      </c>
      <c r="C39" t="inlineStr">
        <is>
          <t>0                      QD 0001000A  355                                                     no.174</t>
        </is>
      </c>
      <c r="D39" t="inlineStr">
        <is>
          <t>Probing polymer structures : based on a symposium cosponsored by the Divisions of Polymer Chemistry and Analytical Chemistry at the 174th meeting of the American Chemical Society, Chicago, Illinois, August 29-September 2, 1977 / Jack L. Koenig, editor.</t>
        </is>
      </c>
      <c r="E39" t="inlineStr">
        <is>
          <t>no.174*</t>
        </is>
      </c>
      <c r="F39" t="inlineStr">
        <is>
          <t>No</t>
        </is>
      </c>
      <c r="G39" t="inlineStr">
        <is>
          <t>1</t>
        </is>
      </c>
      <c r="H39" t="inlineStr">
        <is>
          <t>No</t>
        </is>
      </c>
      <c r="I39" t="inlineStr">
        <is>
          <t>No</t>
        </is>
      </c>
      <c r="J39" t="inlineStr">
        <is>
          <t>0</t>
        </is>
      </c>
      <c r="L39" t="inlineStr">
        <is>
          <t>Washington : American Chemical Society, 1979.</t>
        </is>
      </c>
      <c r="M39" t="inlineStr">
        <is>
          <t>1979</t>
        </is>
      </c>
      <c r="O39" t="inlineStr">
        <is>
          <t>eng</t>
        </is>
      </c>
      <c r="P39" t="inlineStr">
        <is>
          <t>dcu</t>
        </is>
      </c>
      <c r="Q39" t="inlineStr">
        <is>
          <t>Advances in chemistry series, 0065-2393 ; 174</t>
        </is>
      </c>
      <c r="R39" t="inlineStr">
        <is>
          <t xml:space="preserve">QD </t>
        </is>
      </c>
      <c r="S39" t="n">
        <v>1</v>
      </c>
      <c r="T39" t="n">
        <v>1</v>
      </c>
      <c r="U39" t="inlineStr">
        <is>
          <t>1998-07-23</t>
        </is>
      </c>
      <c r="V39" t="inlineStr">
        <is>
          <t>1998-07-23</t>
        </is>
      </c>
      <c r="W39" t="inlineStr">
        <is>
          <t>1993-05-14</t>
        </is>
      </c>
      <c r="X39" t="inlineStr">
        <is>
          <t>1993-05-14</t>
        </is>
      </c>
      <c r="Y39" t="n">
        <v>362</v>
      </c>
      <c r="Z39" t="n">
        <v>289</v>
      </c>
      <c r="AA39" t="n">
        <v>321</v>
      </c>
      <c r="AB39" t="n">
        <v>3</v>
      </c>
      <c r="AC39" t="n">
        <v>3</v>
      </c>
      <c r="AD39" t="n">
        <v>13</v>
      </c>
      <c r="AE39" t="n">
        <v>13</v>
      </c>
      <c r="AF39" t="n">
        <v>3</v>
      </c>
      <c r="AG39" t="n">
        <v>3</v>
      </c>
      <c r="AH39" t="n">
        <v>5</v>
      </c>
      <c r="AI39" t="n">
        <v>5</v>
      </c>
      <c r="AJ39" t="n">
        <v>6</v>
      </c>
      <c r="AK39" t="n">
        <v>6</v>
      </c>
      <c r="AL39" t="n">
        <v>2</v>
      </c>
      <c r="AM39" t="n">
        <v>2</v>
      </c>
      <c r="AN39" t="n">
        <v>0</v>
      </c>
      <c r="AO39" t="n">
        <v>0</v>
      </c>
      <c r="AP39" t="inlineStr">
        <is>
          <t>No</t>
        </is>
      </c>
      <c r="AQ39" t="inlineStr">
        <is>
          <t>Yes</t>
        </is>
      </c>
      <c r="AR39">
        <f>HYPERLINK("http://catalog.hathitrust.org/Record/000297572","HathiTrust Record")</f>
        <v/>
      </c>
      <c r="AS39">
        <f>HYPERLINK("https://creighton-primo.hosted.exlibrisgroup.com/primo-explore/search?tab=default_tab&amp;search_scope=EVERYTHING&amp;vid=01CRU&amp;lang=en_US&amp;offset=0&amp;query=any,contains,991005374449702656","Catalog Record")</f>
        <v/>
      </c>
      <c r="AT39">
        <f>HYPERLINK("http://www.worldcat.org/oclc/4775338","WorldCat Record")</f>
        <v/>
      </c>
      <c r="AU39" t="inlineStr">
        <is>
          <t>806763039:eng</t>
        </is>
      </c>
      <c r="AV39" t="inlineStr">
        <is>
          <t>4775338</t>
        </is>
      </c>
      <c r="AW39" t="inlineStr">
        <is>
          <t>991005374449702656</t>
        </is>
      </c>
      <c r="AX39" t="inlineStr">
        <is>
          <t>991005374449702656</t>
        </is>
      </c>
      <c r="AY39" t="inlineStr">
        <is>
          <t>2255373230002656</t>
        </is>
      </c>
      <c r="AZ39" t="inlineStr">
        <is>
          <t>BOOK</t>
        </is>
      </c>
      <c r="BB39" t="inlineStr">
        <is>
          <t>9780841204065</t>
        </is>
      </c>
      <c r="BC39" t="inlineStr">
        <is>
          <t>32285001657161</t>
        </is>
      </c>
      <c r="BD39" t="inlineStr">
        <is>
          <t>893594953</t>
        </is>
      </c>
    </row>
    <row r="40">
      <c r="A40" t="inlineStr">
        <is>
          <t>No</t>
        </is>
      </c>
      <c r="B40" t="inlineStr">
        <is>
          <t>QD1 .A355 no.175</t>
        </is>
      </c>
      <c r="C40" t="inlineStr">
        <is>
          <t>0                      QD 0001000A  355                                                     no.175</t>
        </is>
      </c>
      <c r="D40" t="inlineStr">
        <is>
          <t>Positronium and muonium chemistry / Hans J. Ache, editor ; based on a symposium sponsored by the Division of Physical Chemistry of the Chemical Institute of Canada at the second joint CIC/ACS conference, Montreal, Canada, May 31-June 2, 1977.</t>
        </is>
      </c>
      <c r="E40" t="inlineStr">
        <is>
          <t>no.175*</t>
        </is>
      </c>
      <c r="F40" t="inlineStr">
        <is>
          <t>No</t>
        </is>
      </c>
      <c r="G40" t="inlineStr">
        <is>
          <t>1</t>
        </is>
      </c>
      <c r="H40" t="inlineStr">
        <is>
          <t>No</t>
        </is>
      </c>
      <c r="I40" t="inlineStr">
        <is>
          <t>No</t>
        </is>
      </c>
      <c r="J40" t="inlineStr">
        <is>
          <t>0</t>
        </is>
      </c>
      <c r="L40" t="inlineStr">
        <is>
          <t>Washington : American Chemical Society, 1979.</t>
        </is>
      </c>
      <c r="M40" t="inlineStr">
        <is>
          <t>1979</t>
        </is>
      </c>
      <c r="O40" t="inlineStr">
        <is>
          <t>eng</t>
        </is>
      </c>
      <c r="P40" t="inlineStr">
        <is>
          <t>dcu</t>
        </is>
      </c>
      <c r="Q40" t="inlineStr">
        <is>
          <t>Advances in chemistry series, 0065-2393 ; 175</t>
        </is>
      </c>
      <c r="R40" t="inlineStr">
        <is>
          <t xml:space="preserve">QD </t>
        </is>
      </c>
      <c r="S40" t="n">
        <v>1</v>
      </c>
      <c r="T40" t="n">
        <v>1</v>
      </c>
      <c r="U40" t="inlineStr">
        <is>
          <t>1998-07-23</t>
        </is>
      </c>
      <c r="V40" t="inlineStr">
        <is>
          <t>1998-07-23</t>
        </is>
      </c>
      <c r="W40" t="inlineStr">
        <is>
          <t>1993-05-14</t>
        </is>
      </c>
      <c r="X40" t="inlineStr">
        <is>
          <t>1993-05-14</t>
        </is>
      </c>
      <c r="Y40" t="n">
        <v>308</v>
      </c>
      <c r="Z40" t="n">
        <v>240</v>
      </c>
      <c r="AA40" t="n">
        <v>281</v>
      </c>
      <c r="AB40" t="n">
        <v>2</v>
      </c>
      <c r="AC40" t="n">
        <v>2</v>
      </c>
      <c r="AD40" t="n">
        <v>9</v>
      </c>
      <c r="AE40" t="n">
        <v>9</v>
      </c>
      <c r="AF40" t="n">
        <v>2</v>
      </c>
      <c r="AG40" t="n">
        <v>2</v>
      </c>
      <c r="AH40" t="n">
        <v>4</v>
      </c>
      <c r="AI40" t="n">
        <v>4</v>
      </c>
      <c r="AJ40" t="n">
        <v>5</v>
      </c>
      <c r="AK40" t="n">
        <v>5</v>
      </c>
      <c r="AL40" t="n">
        <v>1</v>
      </c>
      <c r="AM40" t="n">
        <v>1</v>
      </c>
      <c r="AN40" t="n">
        <v>0</v>
      </c>
      <c r="AO40" t="n">
        <v>0</v>
      </c>
      <c r="AP40" t="inlineStr">
        <is>
          <t>No</t>
        </is>
      </c>
      <c r="AQ40" t="inlineStr">
        <is>
          <t>No</t>
        </is>
      </c>
      <c r="AS40">
        <f>HYPERLINK("https://creighton-primo.hosted.exlibrisgroup.com/primo-explore/search?tab=default_tab&amp;search_scope=EVERYTHING&amp;vid=01CRU&amp;lang=en_US&amp;offset=0&amp;query=any,contains,991005374949702656","Catalog Record")</f>
        <v/>
      </c>
      <c r="AT40">
        <f>HYPERLINK("http://www.worldcat.org/oclc/4832403","WorldCat Record")</f>
        <v/>
      </c>
      <c r="AU40" t="inlineStr">
        <is>
          <t>365282858:eng</t>
        </is>
      </c>
      <c r="AV40" t="inlineStr">
        <is>
          <t>4832403</t>
        </is>
      </c>
      <c r="AW40" t="inlineStr">
        <is>
          <t>991005374949702656</t>
        </is>
      </c>
      <c r="AX40" t="inlineStr">
        <is>
          <t>991005374949702656</t>
        </is>
      </c>
      <c r="AY40" t="inlineStr">
        <is>
          <t>2268549640002656</t>
        </is>
      </c>
      <c r="AZ40" t="inlineStr">
        <is>
          <t>BOOK</t>
        </is>
      </c>
      <c r="BB40" t="inlineStr">
        <is>
          <t>9780841204171</t>
        </is>
      </c>
      <c r="BC40" t="inlineStr">
        <is>
          <t>32285001657179</t>
        </is>
      </c>
      <c r="BD40" t="inlineStr">
        <is>
          <t>893338995</t>
        </is>
      </c>
    </row>
    <row r="41">
      <c r="A41" t="inlineStr">
        <is>
          <t>No</t>
        </is>
      </c>
      <c r="B41" t="inlineStr">
        <is>
          <t>QD1 .A355 no.176</t>
        </is>
      </c>
      <c r="C41" t="inlineStr">
        <is>
          <t>0                      QD 0001000A  355                                                     no.176</t>
        </is>
      </c>
      <c r="D41" t="inlineStr">
        <is>
          <t>Multiphase polymers : based on a symposium sponsored by the ACS Division of Polymer Chemistry at the 175th meeting of the American Chemical Society, Anaheim, California, March 13-15, 1978 / Stuart L. Cooper, editor, Gerald M. Estes, editor.</t>
        </is>
      </c>
      <c r="E41" t="inlineStr">
        <is>
          <t>no.176*</t>
        </is>
      </c>
      <c r="F41" t="inlineStr">
        <is>
          <t>No</t>
        </is>
      </c>
      <c r="G41" t="inlineStr">
        <is>
          <t>1</t>
        </is>
      </c>
      <c r="H41" t="inlineStr">
        <is>
          <t>No</t>
        </is>
      </c>
      <c r="I41" t="inlineStr">
        <is>
          <t>No</t>
        </is>
      </c>
      <c r="J41" t="inlineStr">
        <is>
          <t>0</t>
        </is>
      </c>
      <c r="L41" t="inlineStr">
        <is>
          <t>Washington : American Chemical Society, 1979.</t>
        </is>
      </c>
      <c r="M41" t="inlineStr">
        <is>
          <t>1979</t>
        </is>
      </c>
      <c r="O41" t="inlineStr">
        <is>
          <t>eng</t>
        </is>
      </c>
      <c r="P41" t="inlineStr">
        <is>
          <t>dcu</t>
        </is>
      </c>
      <c r="Q41" t="inlineStr">
        <is>
          <t>Advances in chemistry series, 0065-2393 ; 176</t>
        </is>
      </c>
      <c r="R41" t="inlineStr">
        <is>
          <t xml:space="preserve">QD </t>
        </is>
      </c>
      <c r="S41" t="n">
        <v>1</v>
      </c>
      <c r="T41" t="n">
        <v>1</v>
      </c>
      <c r="U41" t="inlineStr">
        <is>
          <t>1998-07-23</t>
        </is>
      </c>
      <c r="V41" t="inlineStr">
        <is>
          <t>1998-07-23</t>
        </is>
      </c>
      <c r="W41" t="inlineStr">
        <is>
          <t>1993-05-14</t>
        </is>
      </c>
      <c r="X41" t="inlineStr">
        <is>
          <t>1993-05-14</t>
        </is>
      </c>
      <c r="Y41" t="n">
        <v>346</v>
      </c>
      <c r="Z41" t="n">
        <v>272</v>
      </c>
      <c r="AA41" t="n">
        <v>319</v>
      </c>
      <c r="AB41" t="n">
        <v>2</v>
      </c>
      <c r="AC41" t="n">
        <v>2</v>
      </c>
      <c r="AD41" t="n">
        <v>9</v>
      </c>
      <c r="AE41" t="n">
        <v>9</v>
      </c>
      <c r="AF41" t="n">
        <v>2</v>
      </c>
      <c r="AG41" t="n">
        <v>2</v>
      </c>
      <c r="AH41" t="n">
        <v>4</v>
      </c>
      <c r="AI41" t="n">
        <v>4</v>
      </c>
      <c r="AJ41" t="n">
        <v>5</v>
      </c>
      <c r="AK41" t="n">
        <v>5</v>
      </c>
      <c r="AL41" t="n">
        <v>1</v>
      </c>
      <c r="AM41" t="n">
        <v>1</v>
      </c>
      <c r="AN41" t="n">
        <v>0</v>
      </c>
      <c r="AO41" t="n">
        <v>0</v>
      </c>
      <c r="AP41" t="inlineStr">
        <is>
          <t>No</t>
        </is>
      </c>
      <c r="AQ41" t="inlineStr">
        <is>
          <t>Yes</t>
        </is>
      </c>
      <c r="AR41">
        <f>HYPERLINK("http://catalog.hathitrust.org/Record/000297476","HathiTrust Record")</f>
        <v/>
      </c>
      <c r="AS41">
        <f>HYPERLINK("https://creighton-primo.hosted.exlibrisgroup.com/primo-explore/search?tab=default_tab&amp;search_scope=EVERYTHING&amp;vid=01CRU&amp;lang=en_US&amp;offset=0&amp;query=any,contains,991005374429702656","Catalog Record")</f>
        <v/>
      </c>
      <c r="AT41">
        <f>HYPERLINK("http://www.worldcat.org/oclc/4774515","WorldCat Record")</f>
        <v/>
      </c>
      <c r="AU41" t="inlineStr">
        <is>
          <t>806763033:eng</t>
        </is>
      </c>
      <c r="AV41" t="inlineStr">
        <is>
          <t>4774515</t>
        </is>
      </c>
      <c r="AW41" t="inlineStr">
        <is>
          <t>991005374429702656</t>
        </is>
      </c>
      <c r="AX41" t="inlineStr">
        <is>
          <t>991005374429702656</t>
        </is>
      </c>
      <c r="AY41" t="inlineStr">
        <is>
          <t>2257157140002656</t>
        </is>
      </c>
      <c r="AZ41" t="inlineStr">
        <is>
          <t>BOOK</t>
        </is>
      </c>
      <c r="BB41" t="inlineStr">
        <is>
          <t>9780841204577</t>
        </is>
      </c>
      <c r="BC41" t="inlineStr">
        <is>
          <t>32285001657187</t>
        </is>
      </c>
      <c r="BD41" t="inlineStr">
        <is>
          <t>893418857</t>
        </is>
      </c>
    </row>
    <row r="42">
      <c r="A42" t="inlineStr">
        <is>
          <t>No</t>
        </is>
      </c>
      <c r="B42" t="inlineStr">
        <is>
          <t>QD1 .A355 no.186</t>
        </is>
      </c>
      <c r="C42" t="inlineStr">
        <is>
          <t>0                      QD 0001000A  355                                                     no.186</t>
        </is>
      </c>
      <c r="D42" t="inlineStr">
        <is>
          <t>Sold state chemistry : a contemporary overview : based on a symposium sponsored by the Solid State Subdivision of the ACS Division of Inorganic Chemistry at the Summer Symposium on Solid State Chemistry, Laramie, WY, July 31, 1978 / Smith L. Holt, editor, Joseph B. Milstein, editor, Murray Robbins, editor.</t>
        </is>
      </c>
      <c r="E42" t="inlineStr">
        <is>
          <t>no.186*</t>
        </is>
      </c>
      <c r="F42" t="inlineStr">
        <is>
          <t>No</t>
        </is>
      </c>
      <c r="G42" t="inlineStr">
        <is>
          <t>1</t>
        </is>
      </c>
      <c r="H42" t="inlineStr">
        <is>
          <t>No</t>
        </is>
      </c>
      <c r="I42" t="inlineStr">
        <is>
          <t>No</t>
        </is>
      </c>
      <c r="J42" t="inlineStr">
        <is>
          <t>0</t>
        </is>
      </c>
      <c r="L42" t="inlineStr">
        <is>
          <t>Washington, D.C. : American Chemical Society, 1980.</t>
        </is>
      </c>
      <c r="M42" t="inlineStr">
        <is>
          <t>1980</t>
        </is>
      </c>
      <c r="O42" t="inlineStr">
        <is>
          <t>eng</t>
        </is>
      </c>
      <c r="P42" t="inlineStr">
        <is>
          <t>dcu</t>
        </is>
      </c>
      <c r="Q42" t="inlineStr">
        <is>
          <t>Advances in chemistry series, 0065-2393 ; 186</t>
        </is>
      </c>
      <c r="R42" t="inlineStr">
        <is>
          <t xml:space="preserve">QD </t>
        </is>
      </c>
      <c r="S42" t="n">
        <v>1</v>
      </c>
      <c r="T42" t="n">
        <v>1</v>
      </c>
      <c r="U42" t="inlineStr">
        <is>
          <t>1998-07-23</t>
        </is>
      </c>
      <c r="V42" t="inlineStr">
        <is>
          <t>1998-07-23</t>
        </is>
      </c>
      <c r="W42" t="inlineStr">
        <is>
          <t>1993-05-14</t>
        </is>
      </c>
      <c r="X42" t="inlineStr">
        <is>
          <t>1993-05-14</t>
        </is>
      </c>
      <c r="Y42" t="n">
        <v>373</v>
      </c>
      <c r="Z42" t="n">
        <v>298</v>
      </c>
      <c r="AA42" t="n">
        <v>335</v>
      </c>
      <c r="AB42" t="n">
        <v>2</v>
      </c>
      <c r="AC42" t="n">
        <v>2</v>
      </c>
      <c r="AD42" t="n">
        <v>10</v>
      </c>
      <c r="AE42" t="n">
        <v>10</v>
      </c>
      <c r="AF42" t="n">
        <v>3</v>
      </c>
      <c r="AG42" t="n">
        <v>3</v>
      </c>
      <c r="AH42" t="n">
        <v>4</v>
      </c>
      <c r="AI42" t="n">
        <v>4</v>
      </c>
      <c r="AJ42" t="n">
        <v>6</v>
      </c>
      <c r="AK42" t="n">
        <v>6</v>
      </c>
      <c r="AL42" t="n">
        <v>1</v>
      </c>
      <c r="AM42" t="n">
        <v>1</v>
      </c>
      <c r="AN42" t="n">
        <v>0</v>
      </c>
      <c r="AO42" t="n">
        <v>0</v>
      </c>
      <c r="AP42" t="inlineStr">
        <is>
          <t>No</t>
        </is>
      </c>
      <c r="AQ42" t="inlineStr">
        <is>
          <t>Yes</t>
        </is>
      </c>
      <c r="AR42">
        <f>HYPERLINK("http://catalog.hathitrust.org/Record/000728659","HathiTrust Record")</f>
        <v/>
      </c>
      <c r="AS42">
        <f>HYPERLINK("https://creighton-primo.hosted.exlibrisgroup.com/primo-explore/search?tab=default_tab&amp;search_scope=EVERYTHING&amp;vid=01CRU&amp;lang=en_US&amp;offset=0&amp;query=any,contains,991005382729702656","Catalog Record")</f>
        <v/>
      </c>
      <c r="AT42">
        <f>HYPERLINK("http://www.worldcat.org/oclc/6446551","WorldCat Record")</f>
        <v/>
      </c>
      <c r="AU42" t="inlineStr">
        <is>
          <t>806763017:eng</t>
        </is>
      </c>
      <c r="AV42" t="inlineStr">
        <is>
          <t>6446551</t>
        </is>
      </c>
      <c r="AW42" t="inlineStr">
        <is>
          <t>991005382729702656</t>
        </is>
      </c>
      <c r="AX42" t="inlineStr">
        <is>
          <t>991005382729702656</t>
        </is>
      </c>
      <c r="AY42" t="inlineStr">
        <is>
          <t>2256006790002656</t>
        </is>
      </c>
      <c r="AZ42" t="inlineStr">
        <is>
          <t>BOOK</t>
        </is>
      </c>
      <c r="BB42" t="inlineStr">
        <is>
          <t>9780841204720</t>
        </is>
      </c>
      <c r="BC42" t="inlineStr">
        <is>
          <t>32285001657286</t>
        </is>
      </c>
      <c r="BD42" t="inlineStr">
        <is>
          <t>893720333</t>
        </is>
      </c>
    </row>
    <row r="43">
      <c r="A43" t="inlineStr">
        <is>
          <t>No</t>
        </is>
      </c>
      <c r="B43" t="inlineStr">
        <is>
          <t>QD1 .A355 no.192</t>
        </is>
      </c>
      <c r="C43" t="inlineStr">
        <is>
          <t>0                      QD 0001000A  355                                                     no.192</t>
        </is>
      </c>
      <c r="D43" t="inlineStr">
        <is>
          <t>Coal structure : based on a symposium sponsored by the Division of Fuel Chemistry at the ACS/CSJ Chemical Congress, Honolulu, Hawaii, April 3-4, 1979 / Martin L. Gorbaty, editor, K. Ouchi, editor.</t>
        </is>
      </c>
      <c r="E43" t="inlineStr">
        <is>
          <t>no.192*</t>
        </is>
      </c>
      <c r="F43" t="inlineStr">
        <is>
          <t>No</t>
        </is>
      </c>
      <c r="G43" t="inlineStr">
        <is>
          <t>1</t>
        </is>
      </c>
      <c r="H43" t="inlineStr">
        <is>
          <t>No</t>
        </is>
      </c>
      <c r="I43" t="inlineStr">
        <is>
          <t>No</t>
        </is>
      </c>
      <c r="J43" t="inlineStr">
        <is>
          <t>0</t>
        </is>
      </c>
      <c r="L43" t="inlineStr">
        <is>
          <t>Washington, D.C. : American Chemical Society, 1981.</t>
        </is>
      </c>
      <c r="M43" t="inlineStr">
        <is>
          <t>1980</t>
        </is>
      </c>
      <c r="O43" t="inlineStr">
        <is>
          <t>eng</t>
        </is>
      </c>
      <c r="P43" t="inlineStr">
        <is>
          <t>dcu</t>
        </is>
      </c>
      <c r="Q43" t="inlineStr">
        <is>
          <t>Advances in chemistry series, 0065-2393 ; 192</t>
        </is>
      </c>
      <c r="R43" t="inlineStr">
        <is>
          <t xml:space="preserve">QD </t>
        </is>
      </c>
      <c r="S43" t="n">
        <v>1</v>
      </c>
      <c r="T43" t="n">
        <v>1</v>
      </c>
      <c r="U43" t="inlineStr">
        <is>
          <t>1998-07-23</t>
        </is>
      </c>
      <c r="V43" t="inlineStr">
        <is>
          <t>1998-07-23</t>
        </is>
      </c>
      <c r="W43" t="inlineStr">
        <is>
          <t>1993-05-14</t>
        </is>
      </c>
      <c r="X43" t="inlineStr">
        <is>
          <t>1993-05-14</t>
        </is>
      </c>
      <c r="Y43" t="n">
        <v>345</v>
      </c>
      <c r="Z43" t="n">
        <v>278</v>
      </c>
      <c r="AA43" t="n">
        <v>331</v>
      </c>
      <c r="AB43" t="n">
        <v>2</v>
      </c>
      <c r="AC43" t="n">
        <v>2</v>
      </c>
      <c r="AD43" t="n">
        <v>9</v>
      </c>
      <c r="AE43" t="n">
        <v>9</v>
      </c>
      <c r="AF43" t="n">
        <v>1</v>
      </c>
      <c r="AG43" t="n">
        <v>1</v>
      </c>
      <c r="AH43" t="n">
        <v>4</v>
      </c>
      <c r="AI43" t="n">
        <v>4</v>
      </c>
      <c r="AJ43" t="n">
        <v>6</v>
      </c>
      <c r="AK43" t="n">
        <v>6</v>
      </c>
      <c r="AL43" t="n">
        <v>1</v>
      </c>
      <c r="AM43" t="n">
        <v>1</v>
      </c>
      <c r="AN43" t="n">
        <v>0</v>
      </c>
      <c r="AO43" t="n">
        <v>0</v>
      </c>
      <c r="AP43" t="inlineStr">
        <is>
          <t>No</t>
        </is>
      </c>
      <c r="AQ43" t="inlineStr">
        <is>
          <t>Yes</t>
        </is>
      </c>
      <c r="AR43">
        <f>HYPERLINK("http://catalog.hathitrust.org/Record/000143182","HathiTrust Record")</f>
        <v/>
      </c>
      <c r="AS43">
        <f>HYPERLINK("https://creighton-primo.hosted.exlibrisgroup.com/primo-explore/search?tab=default_tab&amp;search_scope=EVERYTHING&amp;vid=01CRU&amp;lang=en_US&amp;offset=0&amp;query=any,contains,991005383939702656","Catalog Record")</f>
        <v/>
      </c>
      <c r="AT43">
        <f>HYPERLINK("http://www.worldcat.org/oclc/6580265","WorldCat Record")</f>
        <v/>
      </c>
      <c r="AU43" t="inlineStr">
        <is>
          <t>793133721:eng</t>
        </is>
      </c>
      <c r="AV43" t="inlineStr">
        <is>
          <t>6580265</t>
        </is>
      </c>
      <c r="AW43" t="inlineStr">
        <is>
          <t>991005383939702656</t>
        </is>
      </c>
      <c r="AX43" t="inlineStr">
        <is>
          <t>991005383939702656</t>
        </is>
      </c>
      <c r="AY43" t="inlineStr">
        <is>
          <t>2254910380002656</t>
        </is>
      </c>
      <c r="AZ43" t="inlineStr">
        <is>
          <t>BOOK</t>
        </is>
      </c>
      <c r="BB43" t="inlineStr">
        <is>
          <t>9780841205246</t>
        </is>
      </c>
      <c r="BC43" t="inlineStr">
        <is>
          <t>32285001657344</t>
        </is>
      </c>
      <c r="BD43" t="inlineStr">
        <is>
          <t>893527529</t>
        </is>
      </c>
    </row>
    <row r="44">
      <c r="A44" t="inlineStr">
        <is>
          <t>No</t>
        </is>
      </c>
      <c r="B44" t="inlineStr">
        <is>
          <t>QD1 .A355 no.194</t>
        </is>
      </c>
      <c r="C44" t="inlineStr">
        <is>
          <t>0                      QD 0001000A  355                                                     no.194</t>
        </is>
      </c>
      <c r="D44" t="inlineStr">
        <is>
          <t>Mössbauer spectroscopy and its chemical applications / John G. Stevens, editor, Gopal K. Shenoy, editor.</t>
        </is>
      </c>
      <c r="E44" t="inlineStr">
        <is>
          <t>no.194*</t>
        </is>
      </c>
      <c r="F44" t="inlineStr">
        <is>
          <t>No</t>
        </is>
      </c>
      <c r="G44" t="inlineStr">
        <is>
          <t>1</t>
        </is>
      </c>
      <c r="H44" t="inlineStr">
        <is>
          <t>No</t>
        </is>
      </c>
      <c r="I44" t="inlineStr">
        <is>
          <t>No</t>
        </is>
      </c>
      <c r="J44" t="inlineStr">
        <is>
          <t>0</t>
        </is>
      </c>
      <c r="L44" t="inlineStr">
        <is>
          <t>Washington, D.C. : American Chemical Society, 1981.</t>
        </is>
      </c>
      <c r="M44" t="inlineStr">
        <is>
          <t>1981</t>
        </is>
      </c>
      <c r="O44" t="inlineStr">
        <is>
          <t>eng</t>
        </is>
      </c>
      <c r="P44" t="inlineStr">
        <is>
          <t>dcu</t>
        </is>
      </c>
      <c r="Q44" t="inlineStr">
        <is>
          <t>Advances in chemistry series, 0065-2393 ; 194</t>
        </is>
      </c>
      <c r="R44" t="inlineStr">
        <is>
          <t xml:space="preserve">QD </t>
        </is>
      </c>
      <c r="S44" t="n">
        <v>1</v>
      </c>
      <c r="T44" t="n">
        <v>1</v>
      </c>
      <c r="U44" t="inlineStr">
        <is>
          <t>1998-07-23</t>
        </is>
      </c>
      <c r="V44" t="inlineStr">
        <is>
          <t>1998-07-23</t>
        </is>
      </c>
      <c r="W44" t="inlineStr">
        <is>
          <t>1993-05-14</t>
        </is>
      </c>
      <c r="X44" t="inlineStr">
        <is>
          <t>1993-05-14</t>
        </is>
      </c>
      <c r="Y44" t="n">
        <v>375</v>
      </c>
      <c r="Z44" t="n">
        <v>297</v>
      </c>
      <c r="AA44" t="n">
        <v>331</v>
      </c>
      <c r="AB44" t="n">
        <v>2</v>
      </c>
      <c r="AC44" t="n">
        <v>2</v>
      </c>
      <c r="AD44" t="n">
        <v>10</v>
      </c>
      <c r="AE44" t="n">
        <v>10</v>
      </c>
      <c r="AF44" t="n">
        <v>2</v>
      </c>
      <c r="AG44" t="n">
        <v>2</v>
      </c>
      <c r="AH44" t="n">
        <v>3</v>
      </c>
      <c r="AI44" t="n">
        <v>3</v>
      </c>
      <c r="AJ44" t="n">
        <v>7</v>
      </c>
      <c r="AK44" t="n">
        <v>7</v>
      </c>
      <c r="AL44" t="n">
        <v>1</v>
      </c>
      <c r="AM44" t="n">
        <v>1</v>
      </c>
      <c r="AN44" t="n">
        <v>0</v>
      </c>
      <c r="AO44" t="n">
        <v>0</v>
      </c>
      <c r="AP44" t="inlineStr">
        <is>
          <t>No</t>
        </is>
      </c>
      <c r="AQ44" t="inlineStr">
        <is>
          <t>Yes</t>
        </is>
      </c>
      <c r="AR44">
        <f>HYPERLINK("http://catalog.hathitrust.org/Record/000222604","HathiTrust Record")</f>
        <v/>
      </c>
      <c r="AS44">
        <f>HYPERLINK("https://creighton-primo.hosted.exlibrisgroup.com/primo-explore/search?tab=default_tab&amp;search_scope=EVERYTHING&amp;vid=01CRU&amp;lang=en_US&amp;offset=0&amp;query=any,contains,991005388719702656","Catalog Record")</f>
        <v/>
      </c>
      <c r="AT44">
        <f>HYPERLINK("http://www.worldcat.org/oclc/7835671","WorldCat Record")</f>
        <v/>
      </c>
      <c r="AU44" t="inlineStr">
        <is>
          <t>352279290:eng</t>
        </is>
      </c>
      <c r="AV44" t="inlineStr">
        <is>
          <t>7835671</t>
        </is>
      </c>
      <c r="AW44" t="inlineStr">
        <is>
          <t>991005388719702656</t>
        </is>
      </c>
      <c r="AX44" t="inlineStr">
        <is>
          <t>991005388719702656</t>
        </is>
      </c>
      <c r="AY44" t="inlineStr">
        <is>
          <t>2255131010002656</t>
        </is>
      </c>
      <c r="AZ44" t="inlineStr">
        <is>
          <t>BOOK</t>
        </is>
      </c>
      <c r="BB44" t="inlineStr">
        <is>
          <t>9780841205932</t>
        </is>
      </c>
      <c r="BC44" t="inlineStr">
        <is>
          <t>32285001657369</t>
        </is>
      </c>
      <c r="BD44" t="inlineStr">
        <is>
          <t>893601123</t>
        </is>
      </c>
    </row>
    <row r="45">
      <c r="A45" t="inlineStr">
        <is>
          <t>No</t>
        </is>
      </c>
      <c r="B45" t="inlineStr">
        <is>
          <t>QD1 .A355 no.195</t>
        </is>
      </c>
      <c r="C45" t="inlineStr">
        <is>
          <t>0                      QD 0001000A  355                                                     no.195</t>
        </is>
      </c>
      <c r="D45" t="inlineStr">
        <is>
          <t>Chemistry of asphaltenes : based on a symposium / sponsored by the Division of Petroleum Chemistry at the 178th meeting of the American Chemical Society, Washington, D.C., September 10-11, 1979 ; James W. Bunger, editor, Norman C. Li, editor.</t>
        </is>
      </c>
      <c r="E45" t="inlineStr">
        <is>
          <t>no.195*</t>
        </is>
      </c>
      <c r="F45" t="inlineStr">
        <is>
          <t>No</t>
        </is>
      </c>
      <c r="G45" t="inlineStr">
        <is>
          <t>1</t>
        </is>
      </c>
      <c r="H45" t="inlineStr">
        <is>
          <t>No</t>
        </is>
      </c>
      <c r="I45" t="inlineStr">
        <is>
          <t>No</t>
        </is>
      </c>
      <c r="J45" t="inlineStr">
        <is>
          <t>0</t>
        </is>
      </c>
      <c r="L45" t="inlineStr">
        <is>
          <t>Washington, D.C. : American Chemical Society, 1981.</t>
        </is>
      </c>
      <c r="M45" t="inlineStr">
        <is>
          <t>1981</t>
        </is>
      </c>
      <c r="O45" t="inlineStr">
        <is>
          <t>eng</t>
        </is>
      </c>
      <c r="P45" t="inlineStr">
        <is>
          <t>dcu</t>
        </is>
      </c>
      <c r="Q45" t="inlineStr">
        <is>
          <t>Advances in chemistry series, 0065-2393 ; 195</t>
        </is>
      </c>
      <c r="R45" t="inlineStr">
        <is>
          <t xml:space="preserve">QD </t>
        </is>
      </c>
      <c r="S45" t="n">
        <v>1</v>
      </c>
      <c r="T45" t="n">
        <v>1</v>
      </c>
      <c r="U45" t="inlineStr">
        <is>
          <t>1998-07-23</t>
        </is>
      </c>
      <c r="V45" t="inlineStr">
        <is>
          <t>1998-07-23</t>
        </is>
      </c>
      <c r="W45" t="inlineStr">
        <is>
          <t>1993-05-14</t>
        </is>
      </c>
      <c r="X45" t="inlineStr">
        <is>
          <t>1993-05-14</t>
        </is>
      </c>
      <c r="Y45" t="n">
        <v>341</v>
      </c>
      <c r="Z45" t="n">
        <v>271</v>
      </c>
      <c r="AA45" t="n">
        <v>309</v>
      </c>
      <c r="AB45" t="n">
        <v>2</v>
      </c>
      <c r="AC45" t="n">
        <v>2</v>
      </c>
      <c r="AD45" t="n">
        <v>7</v>
      </c>
      <c r="AE45" t="n">
        <v>7</v>
      </c>
      <c r="AF45" t="n">
        <v>1</v>
      </c>
      <c r="AG45" t="n">
        <v>1</v>
      </c>
      <c r="AH45" t="n">
        <v>3</v>
      </c>
      <c r="AI45" t="n">
        <v>3</v>
      </c>
      <c r="AJ45" t="n">
        <v>4</v>
      </c>
      <c r="AK45" t="n">
        <v>4</v>
      </c>
      <c r="AL45" t="n">
        <v>1</v>
      </c>
      <c r="AM45" t="n">
        <v>1</v>
      </c>
      <c r="AN45" t="n">
        <v>0</v>
      </c>
      <c r="AO45" t="n">
        <v>0</v>
      </c>
      <c r="AP45" t="inlineStr">
        <is>
          <t>No</t>
        </is>
      </c>
      <c r="AQ45" t="inlineStr">
        <is>
          <t>Yes</t>
        </is>
      </c>
      <c r="AR45">
        <f>HYPERLINK("http://catalog.hathitrust.org/Record/003502844","HathiTrust Record")</f>
        <v/>
      </c>
      <c r="AS45">
        <f>HYPERLINK("https://creighton-primo.hosted.exlibrisgroup.com/primo-explore/search?tab=default_tab&amp;search_scope=EVERYTHING&amp;vid=01CRU&amp;lang=en_US&amp;offset=0&amp;query=any,contains,991005390499702656","Catalog Record")</f>
        <v/>
      </c>
      <c r="AT45">
        <f>HYPERLINK("http://www.worldcat.org/oclc/7946453","WorldCat Record")</f>
        <v/>
      </c>
      <c r="AU45" t="inlineStr">
        <is>
          <t>4820351688:eng</t>
        </is>
      </c>
      <c r="AV45" t="inlineStr">
        <is>
          <t>7946453</t>
        </is>
      </c>
      <c r="AW45" t="inlineStr">
        <is>
          <t>991005390499702656</t>
        </is>
      </c>
      <c r="AX45" t="inlineStr">
        <is>
          <t>991005390499702656</t>
        </is>
      </c>
      <c r="AY45" t="inlineStr">
        <is>
          <t>2272515270002656</t>
        </is>
      </c>
      <c r="AZ45" t="inlineStr">
        <is>
          <t>BOOK</t>
        </is>
      </c>
      <c r="BB45" t="inlineStr">
        <is>
          <t>9780841205925</t>
        </is>
      </c>
      <c r="BC45" t="inlineStr">
        <is>
          <t>32285001657377</t>
        </is>
      </c>
      <c r="BD45" t="inlineStr">
        <is>
          <t>893261081</t>
        </is>
      </c>
    </row>
    <row r="46">
      <c r="A46" t="inlineStr">
        <is>
          <t>No</t>
        </is>
      </c>
      <c r="B46" t="inlineStr">
        <is>
          <t>QD1 .A355 no.198</t>
        </is>
      </c>
      <c r="C46" t="inlineStr">
        <is>
          <t>0                      QD 0001000A  355                                                     no.198</t>
        </is>
      </c>
      <c r="D46" t="inlineStr">
        <is>
          <t>Modification of proteins : food, nutritional, and pharmacological aspects : based on a symposium / jointly sponsored by the Divisions of Agricultural and Food Chemistry and Biological Chemistry at the 180th meeting of the American Chemical Society, Las Vegas, Nevada, August 27-28, 1980 ; Robert E. Feeney, editor, John R. Whitaker, editor.</t>
        </is>
      </c>
      <c r="E46" t="inlineStr">
        <is>
          <t>no.198*</t>
        </is>
      </c>
      <c r="F46" t="inlineStr">
        <is>
          <t>No</t>
        </is>
      </c>
      <c r="G46" t="inlineStr">
        <is>
          <t>1</t>
        </is>
      </c>
      <c r="H46" t="inlineStr">
        <is>
          <t>No</t>
        </is>
      </c>
      <c r="I46" t="inlineStr">
        <is>
          <t>No</t>
        </is>
      </c>
      <c r="J46" t="inlineStr">
        <is>
          <t>0</t>
        </is>
      </c>
      <c r="L46" t="inlineStr">
        <is>
          <t>Washington, D.C. : The Society, 1982.</t>
        </is>
      </c>
      <c r="M46" t="inlineStr">
        <is>
          <t>1982</t>
        </is>
      </c>
      <c r="O46" t="inlineStr">
        <is>
          <t>eng</t>
        </is>
      </c>
      <c r="P46" t="inlineStr">
        <is>
          <t>dcu</t>
        </is>
      </c>
      <c r="Q46" t="inlineStr">
        <is>
          <t>Advances in chemistry series, 0065-2393 ; 198</t>
        </is>
      </c>
      <c r="R46" t="inlineStr">
        <is>
          <t xml:space="preserve">QD </t>
        </is>
      </c>
      <c r="S46" t="n">
        <v>1</v>
      </c>
      <c r="T46" t="n">
        <v>1</v>
      </c>
      <c r="U46" t="inlineStr">
        <is>
          <t>1998-07-23</t>
        </is>
      </c>
      <c r="V46" t="inlineStr">
        <is>
          <t>1998-07-23</t>
        </is>
      </c>
      <c r="W46" t="inlineStr">
        <is>
          <t>1993-05-14</t>
        </is>
      </c>
      <c r="X46" t="inlineStr">
        <is>
          <t>1993-05-14</t>
        </is>
      </c>
      <c r="Y46" t="n">
        <v>371</v>
      </c>
      <c r="Z46" t="n">
        <v>287</v>
      </c>
      <c r="AA46" t="n">
        <v>325</v>
      </c>
      <c r="AB46" t="n">
        <v>2</v>
      </c>
      <c r="AC46" t="n">
        <v>2</v>
      </c>
      <c r="AD46" t="n">
        <v>9</v>
      </c>
      <c r="AE46" t="n">
        <v>9</v>
      </c>
      <c r="AF46" t="n">
        <v>3</v>
      </c>
      <c r="AG46" t="n">
        <v>3</v>
      </c>
      <c r="AH46" t="n">
        <v>3</v>
      </c>
      <c r="AI46" t="n">
        <v>3</v>
      </c>
      <c r="AJ46" t="n">
        <v>5</v>
      </c>
      <c r="AK46" t="n">
        <v>5</v>
      </c>
      <c r="AL46" t="n">
        <v>1</v>
      </c>
      <c r="AM46" t="n">
        <v>1</v>
      </c>
      <c r="AN46" t="n">
        <v>0</v>
      </c>
      <c r="AO46" t="n">
        <v>0</v>
      </c>
      <c r="AP46" t="inlineStr">
        <is>
          <t>No</t>
        </is>
      </c>
      <c r="AQ46" t="inlineStr">
        <is>
          <t>Yes</t>
        </is>
      </c>
      <c r="AR46">
        <f>HYPERLINK("http://catalog.hathitrust.org/Record/000105356","HathiTrust Record")</f>
        <v/>
      </c>
      <c r="AS46">
        <f>HYPERLINK("https://creighton-primo.hosted.exlibrisgroup.com/primo-explore/search?tab=default_tab&amp;search_scope=EVERYTHING&amp;vid=01CRU&amp;lang=en_US&amp;offset=0&amp;query=any,contains,991005393909702656","Catalog Record")</f>
        <v/>
      </c>
      <c r="AT46">
        <f>HYPERLINK("http://www.worldcat.org/oclc/8194911","WorldCat Record")</f>
        <v/>
      </c>
      <c r="AU46" t="inlineStr">
        <is>
          <t>793352485:eng</t>
        </is>
      </c>
      <c r="AV46" t="inlineStr">
        <is>
          <t>8194911</t>
        </is>
      </c>
      <c r="AW46" t="inlineStr">
        <is>
          <t>991005393909702656</t>
        </is>
      </c>
      <c r="AX46" t="inlineStr">
        <is>
          <t>991005393909702656</t>
        </is>
      </c>
      <c r="AY46" t="inlineStr">
        <is>
          <t>2268670470002656</t>
        </is>
      </c>
      <c r="AZ46" t="inlineStr">
        <is>
          <t>BOOK</t>
        </is>
      </c>
      <c r="BB46" t="inlineStr">
        <is>
          <t>9780841206106</t>
        </is>
      </c>
      <c r="BC46" t="inlineStr">
        <is>
          <t>32285001657401</t>
        </is>
      </c>
      <c r="BD46" t="inlineStr">
        <is>
          <t>893263819</t>
        </is>
      </c>
    </row>
    <row r="47">
      <c r="A47" t="inlineStr">
        <is>
          <t>No</t>
        </is>
      </c>
      <c r="B47" t="inlineStr">
        <is>
          <t>QD1 .A355 no.202</t>
        </is>
      </c>
      <c r="C47" t="inlineStr">
        <is>
          <t>0                      QD 0001000A  355                                                     no.202</t>
        </is>
      </c>
      <c r="D47" t="inlineStr">
        <is>
          <t>Treatment of water by granular activated carbon / Michael J. McGuire, editor, I.H. Suffet, editor.</t>
        </is>
      </c>
      <c r="E47" t="inlineStr">
        <is>
          <t>no.202*</t>
        </is>
      </c>
      <c r="F47" t="inlineStr">
        <is>
          <t>No</t>
        </is>
      </c>
      <c r="G47" t="inlineStr">
        <is>
          <t>1</t>
        </is>
      </c>
      <c r="H47" t="inlineStr">
        <is>
          <t>No</t>
        </is>
      </c>
      <c r="I47" t="inlineStr">
        <is>
          <t>No</t>
        </is>
      </c>
      <c r="J47" t="inlineStr">
        <is>
          <t>0</t>
        </is>
      </c>
      <c r="L47" t="inlineStr">
        <is>
          <t>Washington, D.C. : American Chemical Society, 1983.</t>
        </is>
      </c>
      <c r="M47" t="inlineStr">
        <is>
          <t>1983</t>
        </is>
      </c>
      <c r="O47" t="inlineStr">
        <is>
          <t>eng</t>
        </is>
      </c>
      <c r="P47" t="inlineStr">
        <is>
          <t>dcu</t>
        </is>
      </c>
      <c r="Q47" t="inlineStr">
        <is>
          <t>Advances in chemistry series ; 202</t>
        </is>
      </c>
      <c r="R47" t="inlineStr">
        <is>
          <t xml:space="preserve">QD </t>
        </is>
      </c>
      <c r="S47" t="n">
        <v>5</v>
      </c>
      <c r="T47" t="n">
        <v>5</v>
      </c>
      <c r="U47" t="inlineStr">
        <is>
          <t>1998-07-23</t>
        </is>
      </c>
      <c r="V47" t="inlineStr">
        <is>
          <t>1998-07-23</t>
        </is>
      </c>
      <c r="W47" t="inlineStr">
        <is>
          <t>1993-05-14</t>
        </is>
      </c>
      <c r="X47" t="inlineStr">
        <is>
          <t>1993-05-14</t>
        </is>
      </c>
      <c r="Y47" t="n">
        <v>369</v>
      </c>
      <c r="Z47" t="n">
        <v>281</v>
      </c>
      <c r="AA47" t="n">
        <v>316</v>
      </c>
      <c r="AB47" t="n">
        <v>2</v>
      </c>
      <c r="AC47" t="n">
        <v>2</v>
      </c>
      <c r="AD47" t="n">
        <v>9</v>
      </c>
      <c r="AE47" t="n">
        <v>9</v>
      </c>
      <c r="AF47" t="n">
        <v>3</v>
      </c>
      <c r="AG47" t="n">
        <v>3</v>
      </c>
      <c r="AH47" t="n">
        <v>3</v>
      </c>
      <c r="AI47" t="n">
        <v>3</v>
      </c>
      <c r="AJ47" t="n">
        <v>4</v>
      </c>
      <c r="AK47" t="n">
        <v>4</v>
      </c>
      <c r="AL47" t="n">
        <v>1</v>
      </c>
      <c r="AM47" t="n">
        <v>1</v>
      </c>
      <c r="AN47" t="n">
        <v>0</v>
      </c>
      <c r="AO47" t="n">
        <v>0</v>
      </c>
      <c r="AP47" t="inlineStr">
        <is>
          <t>No</t>
        </is>
      </c>
      <c r="AQ47" t="inlineStr">
        <is>
          <t>Yes</t>
        </is>
      </c>
      <c r="AR47">
        <f>HYPERLINK("http://catalog.hathitrust.org/Record/000156896","HathiTrust Record")</f>
        <v/>
      </c>
      <c r="AS47">
        <f>HYPERLINK("https://creighton-primo.hosted.exlibrisgroup.com/primo-explore/search?tab=default_tab&amp;search_scope=EVERYTHING&amp;vid=01CRU&amp;lang=en_US&amp;offset=0&amp;query=any,contains,991005399699702656","Catalog Record")</f>
        <v/>
      </c>
      <c r="AT47">
        <f>HYPERLINK("http://www.worldcat.org/oclc/9043730","WorldCat Record")</f>
        <v/>
      </c>
      <c r="AU47" t="inlineStr">
        <is>
          <t>365315497:eng</t>
        </is>
      </c>
      <c r="AV47" t="inlineStr">
        <is>
          <t>9043730</t>
        </is>
      </c>
      <c r="AW47" t="inlineStr">
        <is>
          <t>991005399699702656</t>
        </is>
      </c>
      <c r="AX47" t="inlineStr">
        <is>
          <t>991005399699702656</t>
        </is>
      </c>
      <c r="AY47" t="inlineStr">
        <is>
          <t>2266505940002656</t>
        </is>
      </c>
      <c r="AZ47" t="inlineStr">
        <is>
          <t>BOOK</t>
        </is>
      </c>
      <c r="BB47" t="inlineStr">
        <is>
          <t>9780841206656</t>
        </is>
      </c>
      <c r="BC47" t="inlineStr">
        <is>
          <t>32285001657443</t>
        </is>
      </c>
      <c r="BD47" t="inlineStr">
        <is>
          <t>893808405</t>
        </is>
      </c>
    </row>
    <row r="48">
      <c r="A48" t="inlineStr">
        <is>
          <t>No</t>
        </is>
      </c>
      <c r="B48" t="inlineStr">
        <is>
          <t>QD1 .A355 no.203</t>
        </is>
      </c>
      <c r="C48" t="inlineStr">
        <is>
          <t>0                      QD 0001000A  355                                                     no.203</t>
        </is>
      </c>
      <c r="D48" t="inlineStr">
        <is>
          <t>Polymer characterization : spectroscopic, chromatographic, and physical instrumental methods / Clara D. Craver, editor.</t>
        </is>
      </c>
      <c r="E48" t="inlineStr">
        <is>
          <t>no.203*</t>
        </is>
      </c>
      <c r="F48" t="inlineStr">
        <is>
          <t>No</t>
        </is>
      </c>
      <c r="G48" t="inlineStr">
        <is>
          <t>1</t>
        </is>
      </c>
      <c r="H48" t="inlineStr">
        <is>
          <t>No</t>
        </is>
      </c>
      <c r="I48" t="inlineStr">
        <is>
          <t>No</t>
        </is>
      </c>
      <c r="J48" t="inlineStr">
        <is>
          <t>0</t>
        </is>
      </c>
      <c r="L48" t="inlineStr">
        <is>
          <t>Washington, D.C. : American Chemical Society, 1983.</t>
        </is>
      </c>
      <c r="M48" t="inlineStr">
        <is>
          <t>1983</t>
        </is>
      </c>
      <c r="O48" t="inlineStr">
        <is>
          <t>eng</t>
        </is>
      </c>
      <c r="P48" t="inlineStr">
        <is>
          <t>dcu</t>
        </is>
      </c>
      <c r="Q48" t="inlineStr">
        <is>
          <t>Advances in chemistry series, 0065-2393 ; 203</t>
        </is>
      </c>
      <c r="R48" t="inlineStr">
        <is>
          <t xml:space="preserve">QD </t>
        </is>
      </c>
      <c r="S48" t="n">
        <v>2</v>
      </c>
      <c r="T48" t="n">
        <v>2</v>
      </c>
      <c r="U48" t="inlineStr">
        <is>
          <t>2001-02-22</t>
        </is>
      </c>
      <c r="V48" t="inlineStr">
        <is>
          <t>2001-02-22</t>
        </is>
      </c>
      <c r="W48" t="inlineStr">
        <is>
          <t>1993-05-14</t>
        </is>
      </c>
      <c r="X48" t="inlineStr">
        <is>
          <t>1993-05-14</t>
        </is>
      </c>
      <c r="Y48" t="n">
        <v>496</v>
      </c>
      <c r="Z48" t="n">
        <v>404</v>
      </c>
      <c r="AA48" t="n">
        <v>440</v>
      </c>
      <c r="AB48" t="n">
        <v>1</v>
      </c>
      <c r="AC48" t="n">
        <v>1</v>
      </c>
      <c r="AD48" t="n">
        <v>13</v>
      </c>
      <c r="AE48" t="n">
        <v>13</v>
      </c>
      <c r="AF48" t="n">
        <v>4</v>
      </c>
      <c r="AG48" t="n">
        <v>4</v>
      </c>
      <c r="AH48" t="n">
        <v>6</v>
      </c>
      <c r="AI48" t="n">
        <v>6</v>
      </c>
      <c r="AJ48" t="n">
        <v>8</v>
      </c>
      <c r="AK48" t="n">
        <v>8</v>
      </c>
      <c r="AL48" t="n">
        <v>0</v>
      </c>
      <c r="AM48" t="n">
        <v>0</v>
      </c>
      <c r="AN48" t="n">
        <v>0</v>
      </c>
      <c r="AO48" t="n">
        <v>0</v>
      </c>
      <c r="AP48" t="inlineStr">
        <is>
          <t>No</t>
        </is>
      </c>
      <c r="AQ48" t="inlineStr">
        <is>
          <t>Yes</t>
        </is>
      </c>
      <c r="AR48">
        <f>HYPERLINK("http://catalog.hathitrust.org/Record/009616129","HathiTrust Record")</f>
        <v/>
      </c>
      <c r="AS48">
        <f>HYPERLINK("https://creighton-primo.hosted.exlibrisgroup.com/primo-explore/search?tab=default_tab&amp;search_scope=EVERYTHING&amp;vid=01CRU&amp;lang=en_US&amp;offset=0&amp;query=any,contains,991005401209702656","Catalog Record")</f>
        <v/>
      </c>
      <c r="AT48">
        <f>HYPERLINK("http://www.worldcat.org/oclc/9197055","WorldCat Record")</f>
        <v/>
      </c>
      <c r="AU48" t="inlineStr">
        <is>
          <t>795596727:eng</t>
        </is>
      </c>
      <c r="AV48" t="inlineStr">
        <is>
          <t>9197055</t>
        </is>
      </c>
      <c r="AW48" t="inlineStr">
        <is>
          <t>991005401209702656</t>
        </is>
      </c>
      <c r="AX48" t="inlineStr">
        <is>
          <t>991005401209702656</t>
        </is>
      </c>
      <c r="AY48" t="inlineStr">
        <is>
          <t>2266014300002656</t>
        </is>
      </c>
      <c r="AZ48" t="inlineStr">
        <is>
          <t>BOOK</t>
        </is>
      </c>
      <c r="BB48" t="inlineStr">
        <is>
          <t>9780841207004</t>
        </is>
      </c>
      <c r="BC48" t="inlineStr">
        <is>
          <t>32285001657450</t>
        </is>
      </c>
      <c r="BD48" t="inlineStr">
        <is>
          <t>893514666</t>
        </is>
      </c>
    </row>
    <row r="49">
      <c r="A49" t="inlineStr">
        <is>
          <t>No</t>
        </is>
      </c>
      <c r="B49" t="inlineStr">
        <is>
          <t>QD1 .A355 no.204</t>
        </is>
      </c>
      <c r="C49" t="inlineStr">
        <is>
          <t>0                      QD 0001000A  355                                                     no.204</t>
        </is>
      </c>
      <c r="D49" t="inlineStr">
        <is>
          <t>Molecular-based study of fluids / J.M. Haile, editor, G.A. Monsoori, editor.</t>
        </is>
      </c>
      <c r="E49" t="inlineStr">
        <is>
          <t>no.204*</t>
        </is>
      </c>
      <c r="F49" t="inlineStr">
        <is>
          <t>No</t>
        </is>
      </c>
      <c r="G49" t="inlineStr">
        <is>
          <t>1</t>
        </is>
      </c>
      <c r="H49" t="inlineStr">
        <is>
          <t>No</t>
        </is>
      </c>
      <c r="I49" t="inlineStr">
        <is>
          <t>No</t>
        </is>
      </c>
      <c r="J49" t="inlineStr">
        <is>
          <t>0</t>
        </is>
      </c>
      <c r="L49" t="inlineStr">
        <is>
          <t>Washington, D.C. : American Chemical Society, 1983.</t>
        </is>
      </c>
      <c r="M49" t="inlineStr">
        <is>
          <t>1983</t>
        </is>
      </c>
      <c r="O49" t="inlineStr">
        <is>
          <t>eng</t>
        </is>
      </c>
      <c r="P49" t="inlineStr">
        <is>
          <t>dcu</t>
        </is>
      </c>
      <c r="Q49" t="inlineStr">
        <is>
          <t>Advances in chemistry series ; 204</t>
        </is>
      </c>
      <c r="R49" t="inlineStr">
        <is>
          <t xml:space="preserve">QD </t>
        </is>
      </c>
      <c r="S49" t="n">
        <v>3</v>
      </c>
      <c r="T49" t="n">
        <v>3</v>
      </c>
      <c r="U49" t="inlineStr">
        <is>
          <t>1998-07-23</t>
        </is>
      </c>
      <c r="V49" t="inlineStr">
        <is>
          <t>1998-07-23</t>
        </is>
      </c>
      <c r="W49" t="inlineStr">
        <is>
          <t>1993-05-14</t>
        </is>
      </c>
      <c r="X49" t="inlineStr">
        <is>
          <t>1993-05-14</t>
        </is>
      </c>
      <c r="Y49" t="n">
        <v>345</v>
      </c>
      <c r="Z49" t="n">
        <v>276</v>
      </c>
      <c r="AA49" t="n">
        <v>312</v>
      </c>
      <c r="AB49" t="n">
        <v>2</v>
      </c>
      <c r="AC49" t="n">
        <v>2</v>
      </c>
      <c r="AD49" t="n">
        <v>9</v>
      </c>
      <c r="AE49" t="n">
        <v>9</v>
      </c>
      <c r="AF49" t="n">
        <v>2</v>
      </c>
      <c r="AG49" t="n">
        <v>2</v>
      </c>
      <c r="AH49" t="n">
        <v>4</v>
      </c>
      <c r="AI49" t="n">
        <v>4</v>
      </c>
      <c r="AJ49" t="n">
        <v>6</v>
      </c>
      <c r="AK49" t="n">
        <v>6</v>
      </c>
      <c r="AL49" t="n">
        <v>1</v>
      </c>
      <c r="AM49" t="n">
        <v>1</v>
      </c>
      <c r="AN49" t="n">
        <v>0</v>
      </c>
      <c r="AO49" t="n">
        <v>0</v>
      </c>
      <c r="AP49" t="inlineStr">
        <is>
          <t>No</t>
        </is>
      </c>
      <c r="AQ49" t="inlineStr">
        <is>
          <t>Yes</t>
        </is>
      </c>
      <c r="AR49">
        <f>HYPERLINK("http://catalog.hathitrust.org/Record/000279195","HathiTrust Record")</f>
        <v/>
      </c>
      <c r="AS49">
        <f>HYPERLINK("https://creighton-primo.hosted.exlibrisgroup.com/primo-explore/search?tab=default_tab&amp;search_scope=EVERYTHING&amp;vid=01CRU&amp;lang=en_US&amp;offset=0&amp;query=any,contains,991005400699702656","Catalog Record")</f>
        <v/>
      </c>
      <c r="AT49">
        <f>HYPERLINK("http://www.worldcat.org/oclc/9112128","WorldCat Record")</f>
        <v/>
      </c>
      <c r="AU49" t="inlineStr">
        <is>
          <t>757235596:eng</t>
        </is>
      </c>
      <c r="AV49" t="inlineStr">
        <is>
          <t>9112128</t>
        </is>
      </c>
      <c r="AW49" t="inlineStr">
        <is>
          <t>991005400699702656</t>
        </is>
      </c>
      <c r="AX49" t="inlineStr">
        <is>
          <t>991005400699702656</t>
        </is>
      </c>
      <c r="AY49" t="inlineStr">
        <is>
          <t>2265336680002656</t>
        </is>
      </c>
      <c r="AZ49" t="inlineStr">
        <is>
          <t>BOOK</t>
        </is>
      </c>
      <c r="BB49" t="inlineStr">
        <is>
          <t>9780841207202</t>
        </is>
      </c>
      <c r="BC49" t="inlineStr">
        <is>
          <t>32285001657468</t>
        </is>
      </c>
      <c r="BD49" t="inlineStr">
        <is>
          <t>893883821</t>
        </is>
      </c>
    </row>
    <row r="50">
      <c r="A50" t="inlineStr">
        <is>
          <t>No</t>
        </is>
      </c>
      <c r="B50" t="inlineStr">
        <is>
          <t>QD1 .A355 no.21</t>
        </is>
      </c>
      <c r="C50" t="inlineStr">
        <is>
          <t>0                      QD 0001000A  355                                                     no.21</t>
        </is>
      </c>
      <c r="D50" t="inlineStr">
        <is>
          <t>Ozone chemistry and technology : this book presents sixty papers constituting the proceedings of the International Ozone Conference held in Chicago, November 1956 ; a group of international authors presents many facets of the science, technology, and application of this versatile form of oxygen.</t>
        </is>
      </c>
      <c r="E50" t="inlineStr">
        <is>
          <t>no.21*</t>
        </is>
      </c>
      <c r="F50" t="inlineStr">
        <is>
          <t>No</t>
        </is>
      </c>
      <c r="G50" t="inlineStr">
        <is>
          <t>1</t>
        </is>
      </c>
      <c r="H50" t="inlineStr">
        <is>
          <t>No</t>
        </is>
      </c>
      <c r="I50" t="inlineStr">
        <is>
          <t>No</t>
        </is>
      </c>
      <c r="J50" t="inlineStr">
        <is>
          <t>0</t>
        </is>
      </c>
      <c r="K50" t="inlineStr">
        <is>
          <t>International Ozone Conference (1956 : Chicago, Ill.)</t>
        </is>
      </c>
      <c r="L50" t="inlineStr">
        <is>
          <t>Washington : American Chemical Society, 1959.</t>
        </is>
      </c>
      <c r="M50" t="inlineStr">
        <is>
          <t>1959</t>
        </is>
      </c>
      <c r="O50" t="inlineStr">
        <is>
          <t>eng</t>
        </is>
      </c>
      <c r="P50" t="inlineStr">
        <is>
          <t>dcu</t>
        </is>
      </c>
      <c r="Q50" t="inlineStr">
        <is>
          <t>Advances in chemistry series ; no. 21</t>
        </is>
      </c>
      <c r="R50" t="inlineStr">
        <is>
          <t xml:space="preserve">QD </t>
        </is>
      </c>
      <c r="S50" t="n">
        <v>1</v>
      </c>
      <c r="T50" t="n">
        <v>1</v>
      </c>
      <c r="U50" t="inlineStr">
        <is>
          <t>2005-09-16</t>
        </is>
      </c>
      <c r="V50" t="inlineStr">
        <is>
          <t>2005-09-16</t>
        </is>
      </c>
      <c r="W50" t="inlineStr">
        <is>
          <t>2000-06-15</t>
        </is>
      </c>
      <c r="X50" t="inlineStr">
        <is>
          <t>2000-06-15</t>
        </is>
      </c>
      <c r="Y50" t="n">
        <v>465</v>
      </c>
      <c r="Z50" t="n">
        <v>394</v>
      </c>
      <c r="AA50" t="n">
        <v>444</v>
      </c>
      <c r="AB50" t="n">
        <v>2</v>
      </c>
      <c r="AC50" t="n">
        <v>2</v>
      </c>
      <c r="AD50" t="n">
        <v>11</v>
      </c>
      <c r="AE50" t="n">
        <v>13</v>
      </c>
      <c r="AF50" t="n">
        <v>1</v>
      </c>
      <c r="AG50" t="n">
        <v>2</v>
      </c>
      <c r="AH50" t="n">
        <v>3</v>
      </c>
      <c r="AI50" t="n">
        <v>4</v>
      </c>
      <c r="AJ50" t="n">
        <v>9</v>
      </c>
      <c r="AK50" t="n">
        <v>9</v>
      </c>
      <c r="AL50" t="n">
        <v>1</v>
      </c>
      <c r="AM50" t="n">
        <v>1</v>
      </c>
      <c r="AN50" t="n">
        <v>0</v>
      </c>
      <c r="AO50" t="n">
        <v>0</v>
      </c>
      <c r="AP50" t="inlineStr">
        <is>
          <t>No</t>
        </is>
      </c>
      <c r="AQ50" t="inlineStr">
        <is>
          <t>No</t>
        </is>
      </c>
      <c r="AR50">
        <f>HYPERLINK("http://catalog.hathitrust.org/Record/001113617","HathiTrust Record")</f>
        <v/>
      </c>
      <c r="AS50">
        <f>HYPERLINK("https://creighton-primo.hosted.exlibrisgroup.com/primo-explore/search?tab=default_tab&amp;search_scope=EVERYTHING&amp;vid=01CRU&amp;lang=en_US&amp;offset=0&amp;query=any,contains,991003090169702656","Catalog Record")</f>
        <v/>
      </c>
      <c r="AT50">
        <f>HYPERLINK("http://www.worldcat.org/oclc/606792","WorldCat Record")</f>
        <v/>
      </c>
      <c r="AU50" t="inlineStr">
        <is>
          <t>1626865:eng</t>
        </is>
      </c>
      <c r="AV50" t="inlineStr">
        <is>
          <t>606792</t>
        </is>
      </c>
      <c r="AW50" t="inlineStr">
        <is>
          <t>991003090169702656</t>
        </is>
      </c>
      <c r="AX50" t="inlineStr">
        <is>
          <t>991003090169702656</t>
        </is>
      </c>
      <c r="AY50" t="inlineStr">
        <is>
          <t>2264022990002656</t>
        </is>
      </c>
      <c r="AZ50" t="inlineStr">
        <is>
          <t>BOOK</t>
        </is>
      </c>
      <c r="BC50" t="inlineStr">
        <is>
          <t>32285001655231</t>
        </is>
      </c>
      <c r="BD50" t="inlineStr">
        <is>
          <t>893329948</t>
        </is>
      </c>
    </row>
    <row r="51">
      <c r="A51" t="inlineStr">
        <is>
          <t>No</t>
        </is>
      </c>
      <c r="B51" t="inlineStr">
        <is>
          <t>QD1 .A355 no.33</t>
        </is>
      </c>
      <c r="C51" t="inlineStr">
        <is>
          <t>0                      QD 0001000A  355                                                     no.33</t>
        </is>
      </c>
      <c r="D51" t="inlineStr">
        <is>
          <t>Solid surfaces and the gas-solid interface : papers presented at the Kendall award symposium honoring Stephen Brunauer, Division of Colloid and Surface Chemistry, 139th meeting of the American Chemical Society, St. Louis, Mo., March 1961.</t>
        </is>
      </c>
      <c r="E51" t="inlineStr">
        <is>
          <t>no.33*</t>
        </is>
      </c>
      <c r="F51" t="inlineStr">
        <is>
          <t>No</t>
        </is>
      </c>
      <c r="G51" t="inlineStr">
        <is>
          <t>1</t>
        </is>
      </c>
      <c r="H51" t="inlineStr">
        <is>
          <t>No</t>
        </is>
      </c>
      <c r="I51" t="inlineStr">
        <is>
          <t>No</t>
        </is>
      </c>
      <c r="J51" t="inlineStr">
        <is>
          <t>0</t>
        </is>
      </c>
      <c r="K51" t="inlineStr">
        <is>
          <t>American Chemical Society. Division of Colloid and Surface Chemistry.</t>
        </is>
      </c>
      <c r="L51" t="inlineStr">
        <is>
          <t>Washington : American Chemical Society, 1961.</t>
        </is>
      </c>
      <c r="M51" t="inlineStr">
        <is>
          <t>1961</t>
        </is>
      </c>
      <c r="O51" t="inlineStr">
        <is>
          <t>eng</t>
        </is>
      </c>
      <c r="P51" t="inlineStr">
        <is>
          <t>dcu</t>
        </is>
      </c>
      <c r="Q51" t="inlineStr">
        <is>
          <t>Advances in chemistry series ; no. 33</t>
        </is>
      </c>
      <c r="R51" t="inlineStr">
        <is>
          <t xml:space="preserve">QD </t>
        </is>
      </c>
      <c r="S51" t="n">
        <v>1</v>
      </c>
      <c r="T51" t="n">
        <v>1</v>
      </c>
      <c r="U51" t="inlineStr">
        <is>
          <t>2002-06-03</t>
        </is>
      </c>
      <c r="V51" t="inlineStr">
        <is>
          <t>2002-06-03</t>
        </is>
      </c>
      <c r="W51" t="inlineStr">
        <is>
          <t>2000-06-15</t>
        </is>
      </c>
      <c r="X51" t="inlineStr">
        <is>
          <t>2000-06-15</t>
        </is>
      </c>
      <c r="Y51" t="n">
        <v>432</v>
      </c>
      <c r="Z51" t="n">
        <v>357</v>
      </c>
      <c r="AA51" t="n">
        <v>395</v>
      </c>
      <c r="AB51" t="n">
        <v>2</v>
      </c>
      <c r="AC51" t="n">
        <v>2</v>
      </c>
      <c r="AD51" t="n">
        <v>11</v>
      </c>
      <c r="AE51" t="n">
        <v>11</v>
      </c>
      <c r="AF51" t="n">
        <v>4</v>
      </c>
      <c r="AG51" t="n">
        <v>4</v>
      </c>
      <c r="AH51" t="n">
        <v>2</v>
      </c>
      <c r="AI51" t="n">
        <v>2</v>
      </c>
      <c r="AJ51" t="n">
        <v>8</v>
      </c>
      <c r="AK51" t="n">
        <v>8</v>
      </c>
      <c r="AL51" t="n">
        <v>1</v>
      </c>
      <c r="AM51" t="n">
        <v>1</v>
      </c>
      <c r="AN51" t="n">
        <v>0</v>
      </c>
      <c r="AO51" t="n">
        <v>0</v>
      </c>
      <c r="AP51" t="inlineStr">
        <is>
          <t>No</t>
        </is>
      </c>
      <c r="AQ51" t="inlineStr">
        <is>
          <t>No</t>
        </is>
      </c>
      <c r="AR51">
        <f>HYPERLINK("http://catalog.hathitrust.org/Record/001425840","HathiTrust Record")</f>
        <v/>
      </c>
      <c r="AS51">
        <f>HYPERLINK("https://creighton-primo.hosted.exlibrisgroup.com/primo-explore/search?tab=default_tab&amp;search_scope=EVERYTHING&amp;vid=01CRU&amp;lang=en_US&amp;offset=0&amp;query=any,contains,991003111759702656","Catalog Record")</f>
        <v/>
      </c>
      <c r="AT51">
        <f>HYPERLINK("http://www.worldcat.org/oclc/2112674","WorldCat Record")</f>
        <v/>
      </c>
      <c r="AU51" t="inlineStr">
        <is>
          <t>3943531297:eng</t>
        </is>
      </c>
      <c r="AV51" t="inlineStr">
        <is>
          <t>2112674</t>
        </is>
      </c>
      <c r="AW51" t="inlineStr">
        <is>
          <t>991003111759702656</t>
        </is>
      </c>
      <c r="AX51" t="inlineStr">
        <is>
          <t>991003111759702656</t>
        </is>
      </c>
      <c r="AY51" t="inlineStr">
        <is>
          <t>2271031950002656</t>
        </is>
      </c>
      <c r="AZ51" t="inlineStr">
        <is>
          <t>BOOK</t>
        </is>
      </c>
      <c r="BC51" t="inlineStr">
        <is>
          <t>32285001655348</t>
        </is>
      </c>
      <c r="BD51" t="inlineStr">
        <is>
          <t>893887143</t>
        </is>
      </c>
    </row>
    <row r="52">
      <c r="A52" t="inlineStr">
        <is>
          <t>No</t>
        </is>
      </c>
      <c r="B52" t="inlineStr">
        <is>
          <t>QD1 .A355 no.40, 1982</t>
        </is>
      </c>
      <c r="C52" t="inlineStr">
        <is>
          <t>0                      QD 0001000A  355                                                     no.40, 1982</t>
        </is>
      </c>
      <c r="D52" t="inlineStr">
        <is>
          <t>Mass spectral correlations / Fred W. McLafferty, Rengachari Venkataraghavan.</t>
        </is>
      </c>
      <c r="E52" t="inlineStr">
        <is>
          <t>no.40, 1982*</t>
        </is>
      </c>
      <c r="F52" t="inlineStr">
        <is>
          <t>No</t>
        </is>
      </c>
      <c r="G52" t="inlineStr">
        <is>
          <t>1</t>
        </is>
      </c>
      <c r="H52" t="inlineStr">
        <is>
          <t>No</t>
        </is>
      </c>
      <c r="I52" t="inlineStr">
        <is>
          <t>Yes</t>
        </is>
      </c>
      <c r="J52" t="inlineStr">
        <is>
          <t>0</t>
        </is>
      </c>
      <c r="K52" t="inlineStr">
        <is>
          <t>McLafferty, Fred W.</t>
        </is>
      </c>
      <c r="L52" t="inlineStr">
        <is>
          <t>Washington, D.C. : American Chemical Society, 1982.</t>
        </is>
      </c>
      <c r="M52" t="inlineStr">
        <is>
          <t>1982</t>
        </is>
      </c>
      <c r="N52" t="inlineStr">
        <is>
          <t>2nd ed.</t>
        </is>
      </c>
      <c r="O52" t="inlineStr">
        <is>
          <t>eng</t>
        </is>
      </c>
      <c r="P52" t="inlineStr">
        <is>
          <t>dcu</t>
        </is>
      </c>
      <c r="Q52" t="inlineStr">
        <is>
          <t>Advances in chemistry series, 0065-2393 ; 40</t>
        </is>
      </c>
      <c r="R52" t="inlineStr">
        <is>
          <t xml:space="preserve">QD </t>
        </is>
      </c>
      <c r="S52" t="n">
        <v>1</v>
      </c>
      <c r="T52" t="n">
        <v>1</v>
      </c>
      <c r="U52" t="inlineStr">
        <is>
          <t>1998-07-23</t>
        </is>
      </c>
      <c r="V52" t="inlineStr">
        <is>
          <t>1998-07-23</t>
        </is>
      </c>
      <c r="W52" t="inlineStr">
        <is>
          <t>1992-08-07</t>
        </is>
      </c>
      <c r="X52" t="inlineStr">
        <is>
          <t>1992-08-07</t>
        </is>
      </c>
      <c r="Y52" t="n">
        <v>503</v>
      </c>
      <c r="Z52" t="n">
        <v>381</v>
      </c>
      <c r="AA52" t="n">
        <v>641</v>
      </c>
      <c r="AB52" t="n">
        <v>2</v>
      </c>
      <c r="AC52" t="n">
        <v>3</v>
      </c>
      <c r="AD52" t="n">
        <v>14</v>
      </c>
      <c r="AE52" t="n">
        <v>23</v>
      </c>
      <c r="AF52" t="n">
        <v>3</v>
      </c>
      <c r="AG52" t="n">
        <v>6</v>
      </c>
      <c r="AH52" t="n">
        <v>5</v>
      </c>
      <c r="AI52" t="n">
        <v>7</v>
      </c>
      <c r="AJ52" t="n">
        <v>8</v>
      </c>
      <c r="AK52" t="n">
        <v>13</v>
      </c>
      <c r="AL52" t="n">
        <v>1</v>
      </c>
      <c r="AM52" t="n">
        <v>2</v>
      </c>
      <c r="AN52" t="n">
        <v>0</v>
      </c>
      <c r="AO52" t="n">
        <v>0</v>
      </c>
      <c r="AP52" t="inlineStr">
        <is>
          <t>No</t>
        </is>
      </c>
      <c r="AQ52" t="inlineStr">
        <is>
          <t>Yes</t>
        </is>
      </c>
      <c r="AR52">
        <f>HYPERLINK("http://catalog.hathitrust.org/Record/000267801","HathiTrust Record")</f>
        <v/>
      </c>
      <c r="AS52">
        <f>HYPERLINK("https://creighton-primo.hosted.exlibrisgroup.com/primo-explore/search?tab=default_tab&amp;search_scope=EVERYTHING&amp;vid=01CRU&amp;lang=en_US&amp;offset=0&amp;query=any,contains,991005392119702656","Catalog Record")</f>
        <v/>
      </c>
      <c r="AT52">
        <f>HYPERLINK("http://www.worldcat.org/oclc/8034094","WorldCat Record")</f>
        <v/>
      </c>
      <c r="AU52" t="inlineStr">
        <is>
          <t>505274:eng</t>
        </is>
      </c>
      <c r="AV52" t="inlineStr">
        <is>
          <t>8034094</t>
        </is>
      </c>
      <c r="AW52" t="inlineStr">
        <is>
          <t>991005392119702656</t>
        </is>
      </c>
      <c r="AX52" t="inlineStr">
        <is>
          <t>991005392119702656</t>
        </is>
      </c>
      <c r="AY52" t="inlineStr">
        <is>
          <t>2267169150002656</t>
        </is>
      </c>
      <c r="AZ52" t="inlineStr">
        <is>
          <t>BOOK</t>
        </is>
      </c>
      <c r="BB52" t="inlineStr">
        <is>
          <t>9780841207028</t>
        </is>
      </c>
      <c r="BC52" t="inlineStr">
        <is>
          <t>32285001243608</t>
        </is>
      </c>
      <c r="BD52" t="inlineStr">
        <is>
          <t>893877467</t>
        </is>
      </c>
    </row>
    <row r="53">
      <c r="A53" t="inlineStr">
        <is>
          <t>No</t>
        </is>
      </c>
      <c r="B53" t="inlineStr">
        <is>
          <t>QD1 .A355 no.75-77</t>
        </is>
      </c>
      <c r="C53" t="inlineStr">
        <is>
          <t>0                      QD 0001000A  355                                                     no.75-77</t>
        </is>
      </c>
      <c r="D53" t="inlineStr">
        <is>
          <t>Oxidation of organic compounds : proceedings / Frank R. Mayo, general chairman.</t>
        </is>
      </c>
      <c r="E53" t="inlineStr">
        <is>
          <t>no.75-77*</t>
        </is>
      </c>
      <c r="F53" t="inlineStr">
        <is>
          <t>Yes</t>
        </is>
      </c>
      <c r="G53" t="inlineStr">
        <is>
          <t>1</t>
        </is>
      </c>
      <c r="H53" t="inlineStr">
        <is>
          <t>No</t>
        </is>
      </c>
      <c r="I53" t="inlineStr">
        <is>
          <t>No</t>
        </is>
      </c>
      <c r="J53" t="inlineStr">
        <is>
          <t>0</t>
        </is>
      </c>
      <c r="K53" t="inlineStr">
        <is>
          <t>International Oxidation Symposium (1967 : San Francisco, Calif.)</t>
        </is>
      </c>
      <c r="L53" t="inlineStr">
        <is>
          <t>Washington : American Chemical Society, 1968.</t>
        </is>
      </c>
      <c r="M53" t="inlineStr">
        <is>
          <t>1968</t>
        </is>
      </c>
      <c r="O53" t="inlineStr">
        <is>
          <t>eng</t>
        </is>
      </c>
      <c r="P53" t="inlineStr">
        <is>
          <t>dcu</t>
        </is>
      </c>
      <c r="Q53" t="inlineStr">
        <is>
          <t>Advances in chemistry series ; 75-77</t>
        </is>
      </c>
      <c r="R53" t="inlineStr">
        <is>
          <t xml:space="preserve">QD </t>
        </is>
      </c>
      <c r="S53" t="n">
        <v>1</v>
      </c>
      <c r="T53" t="n">
        <v>2</v>
      </c>
      <c r="U53" t="inlineStr">
        <is>
          <t>2002-02-17</t>
        </is>
      </c>
      <c r="V53" t="inlineStr">
        <is>
          <t>2002-06-05</t>
        </is>
      </c>
      <c r="W53" t="inlineStr">
        <is>
          <t>2000-06-15</t>
        </is>
      </c>
      <c r="X53" t="inlineStr">
        <is>
          <t>2002-02-12</t>
        </is>
      </c>
      <c r="Y53" t="n">
        <v>535</v>
      </c>
      <c r="Z53" t="n">
        <v>452</v>
      </c>
      <c r="AA53" t="n">
        <v>501</v>
      </c>
      <c r="AB53" t="n">
        <v>2</v>
      </c>
      <c r="AC53" t="n">
        <v>2</v>
      </c>
      <c r="AD53" t="n">
        <v>17</v>
      </c>
      <c r="AE53" t="n">
        <v>19</v>
      </c>
      <c r="AF53" t="n">
        <v>5</v>
      </c>
      <c r="AG53" t="n">
        <v>6</v>
      </c>
      <c r="AH53" t="n">
        <v>4</v>
      </c>
      <c r="AI53" t="n">
        <v>5</v>
      </c>
      <c r="AJ53" t="n">
        <v>13</v>
      </c>
      <c r="AK53" t="n">
        <v>13</v>
      </c>
      <c r="AL53" t="n">
        <v>1</v>
      </c>
      <c r="AM53" t="n">
        <v>1</v>
      </c>
      <c r="AN53" t="n">
        <v>0</v>
      </c>
      <c r="AO53" t="n">
        <v>0</v>
      </c>
      <c r="AP53" t="inlineStr">
        <is>
          <t>No</t>
        </is>
      </c>
      <c r="AQ53" t="inlineStr">
        <is>
          <t>Yes</t>
        </is>
      </c>
      <c r="AR53">
        <f>HYPERLINK("http://catalog.hathitrust.org/Record/000777291","HathiTrust Record")</f>
        <v/>
      </c>
      <c r="AS53">
        <f>HYPERLINK("https://creighton-primo.hosted.exlibrisgroup.com/primo-explore/search?tab=default_tab&amp;search_scope=EVERYTHING&amp;vid=01CRU&amp;lang=en_US&amp;offset=0&amp;query=any,contains,991003082119702656","Catalog Record")</f>
        <v/>
      </c>
      <c r="AT53">
        <f>HYPERLINK("http://www.worldcat.org/oclc/261882","WorldCat Record")</f>
        <v/>
      </c>
      <c r="AU53" t="inlineStr">
        <is>
          <t>8908460173:eng</t>
        </is>
      </c>
      <c r="AV53" t="inlineStr">
        <is>
          <t>261882</t>
        </is>
      </c>
      <c r="AW53" t="inlineStr">
        <is>
          <t>991003082119702656</t>
        </is>
      </c>
      <c r="AX53" t="inlineStr">
        <is>
          <t>991003082119702656</t>
        </is>
      </c>
      <c r="AY53" t="inlineStr">
        <is>
          <t>2266705190002656</t>
        </is>
      </c>
      <c r="AZ53" t="inlineStr">
        <is>
          <t>BOOK</t>
        </is>
      </c>
      <c r="BC53" t="inlineStr">
        <is>
          <t>32285001655769</t>
        </is>
      </c>
      <c r="BD53" t="inlineStr">
        <is>
          <t>893711027</t>
        </is>
      </c>
    </row>
    <row r="54">
      <c r="A54" t="inlineStr">
        <is>
          <t>No</t>
        </is>
      </c>
      <c r="B54" t="inlineStr">
        <is>
          <t>QD1 .A355 no.98</t>
        </is>
      </c>
      <c r="C54" t="inlineStr">
        <is>
          <t>0                      QD 0001000A  355                                                     no.98</t>
        </is>
      </c>
      <c r="D54" t="inlineStr">
        <is>
          <t>Platinum group metals and compounds : a symposium sponsored by the Division of Inorganic Chemistry at the 158th meeting of the American Chemical Society, New York, N.Y., Sept. 8-9, 1969 / U. V. Rao, symposium chairman.</t>
        </is>
      </c>
      <c r="E54" t="inlineStr">
        <is>
          <t>no.98*</t>
        </is>
      </c>
      <c r="F54" t="inlineStr">
        <is>
          <t>No</t>
        </is>
      </c>
      <c r="G54" t="inlineStr">
        <is>
          <t>1</t>
        </is>
      </c>
      <c r="H54" t="inlineStr">
        <is>
          <t>No</t>
        </is>
      </c>
      <c r="I54" t="inlineStr">
        <is>
          <t>No</t>
        </is>
      </c>
      <c r="J54" t="inlineStr">
        <is>
          <t>0</t>
        </is>
      </c>
      <c r="L54" t="inlineStr">
        <is>
          <t>Washington : American Chemical Society, 1971.</t>
        </is>
      </c>
      <c r="M54" t="inlineStr">
        <is>
          <t>1971</t>
        </is>
      </c>
      <c r="O54" t="inlineStr">
        <is>
          <t>eng</t>
        </is>
      </c>
      <c r="P54" t="inlineStr">
        <is>
          <t>dcu</t>
        </is>
      </c>
      <c r="Q54" t="inlineStr">
        <is>
          <t>Advances in chemistry series ; 98</t>
        </is>
      </c>
      <c r="R54" t="inlineStr">
        <is>
          <t xml:space="preserve">QD </t>
        </is>
      </c>
      <c r="S54" t="n">
        <v>1</v>
      </c>
      <c r="T54" t="n">
        <v>1</v>
      </c>
      <c r="U54" t="inlineStr">
        <is>
          <t>2002-06-03</t>
        </is>
      </c>
      <c r="V54" t="inlineStr">
        <is>
          <t>2002-06-03</t>
        </is>
      </c>
      <c r="W54" t="inlineStr">
        <is>
          <t>2000-06-15</t>
        </is>
      </c>
      <c r="X54" t="inlineStr">
        <is>
          <t>2000-06-15</t>
        </is>
      </c>
      <c r="Y54" t="n">
        <v>411</v>
      </c>
      <c r="Z54" t="n">
        <v>326</v>
      </c>
      <c r="AA54" t="n">
        <v>365</v>
      </c>
      <c r="AB54" t="n">
        <v>2</v>
      </c>
      <c r="AC54" t="n">
        <v>2</v>
      </c>
      <c r="AD54" t="n">
        <v>12</v>
      </c>
      <c r="AE54" t="n">
        <v>12</v>
      </c>
      <c r="AF54" t="n">
        <v>3</v>
      </c>
      <c r="AG54" t="n">
        <v>3</v>
      </c>
      <c r="AH54" t="n">
        <v>3</v>
      </c>
      <c r="AI54" t="n">
        <v>3</v>
      </c>
      <c r="AJ54" t="n">
        <v>9</v>
      </c>
      <c r="AK54" t="n">
        <v>9</v>
      </c>
      <c r="AL54" t="n">
        <v>1</v>
      </c>
      <c r="AM54" t="n">
        <v>1</v>
      </c>
      <c r="AN54" t="n">
        <v>0</v>
      </c>
      <c r="AO54" t="n">
        <v>0</v>
      </c>
      <c r="AP54" t="inlineStr">
        <is>
          <t>No</t>
        </is>
      </c>
      <c r="AQ54" t="inlineStr">
        <is>
          <t>Yes</t>
        </is>
      </c>
      <c r="AR54">
        <f>HYPERLINK("http://catalog.hathitrust.org/Record/001113575","HathiTrust Record")</f>
        <v/>
      </c>
      <c r="AS54">
        <f>HYPERLINK("https://creighton-primo.hosted.exlibrisgroup.com/primo-explore/search?tab=default_tab&amp;search_scope=EVERYTHING&amp;vid=01CRU&amp;lang=en_US&amp;offset=0&amp;query=any,contains,991003080039702656","Catalog Record")</f>
        <v/>
      </c>
      <c r="AT54">
        <f>HYPERLINK("http://www.worldcat.org/oclc/144914","WorldCat Record")</f>
        <v/>
      </c>
      <c r="AU54" t="inlineStr">
        <is>
          <t>793199320:eng</t>
        </is>
      </c>
      <c r="AV54" t="inlineStr">
        <is>
          <t>144914</t>
        </is>
      </c>
      <c r="AW54" t="inlineStr">
        <is>
          <t>991003080039702656</t>
        </is>
      </c>
      <c r="AX54" t="inlineStr">
        <is>
          <t>991003080039702656</t>
        </is>
      </c>
      <c r="AY54" t="inlineStr">
        <is>
          <t>2257443570002656</t>
        </is>
      </c>
      <c r="AZ54" t="inlineStr">
        <is>
          <t>BOOK</t>
        </is>
      </c>
      <c r="BB54" t="inlineStr">
        <is>
          <t>9780841201354</t>
        </is>
      </c>
      <c r="BC54" t="inlineStr">
        <is>
          <t>32285001655983</t>
        </is>
      </c>
      <c r="BD54" t="inlineStr">
        <is>
          <t>893874401</t>
        </is>
      </c>
    </row>
    <row r="55">
      <c r="A55" t="inlineStr">
        <is>
          <t>No</t>
        </is>
      </c>
      <c r="B55" t="inlineStr">
        <is>
          <t>QD1 .F58 v.118</t>
        </is>
      </c>
      <c r="C55" t="inlineStr">
        <is>
          <t>0                      QD 0001000F  58                                                      v.118</t>
        </is>
      </c>
      <c r="D55" t="inlineStr">
        <is>
          <t>Oscillations in chemical reactions / with contributions by O. Gurel and D. Gurel.</t>
        </is>
      </c>
      <c r="E55" t="inlineStr">
        <is>
          <t>V. 118</t>
        </is>
      </c>
      <c r="F55" t="inlineStr">
        <is>
          <t>No</t>
        </is>
      </c>
      <c r="G55" t="inlineStr">
        <is>
          <t>1</t>
        </is>
      </c>
      <c r="H55" t="inlineStr">
        <is>
          <t>No</t>
        </is>
      </c>
      <c r="I55" t="inlineStr">
        <is>
          <t>No</t>
        </is>
      </c>
      <c r="J55" t="inlineStr">
        <is>
          <t>0</t>
        </is>
      </c>
      <c r="K55" t="inlineStr">
        <is>
          <t>Gurel, Okan.</t>
        </is>
      </c>
      <c r="L55" t="inlineStr">
        <is>
          <t>Berlin ; New York : Springer-Verlag, 1983.</t>
        </is>
      </c>
      <c r="M55" t="inlineStr">
        <is>
          <t>1983</t>
        </is>
      </c>
      <c r="O55" t="inlineStr">
        <is>
          <t>eng</t>
        </is>
      </c>
      <c r="P55" t="inlineStr">
        <is>
          <t xml:space="preserve">gw </t>
        </is>
      </c>
      <c r="Q55" t="inlineStr">
        <is>
          <t>Fortschritte der chemischen Forschung ; 118</t>
        </is>
      </c>
      <c r="R55" t="inlineStr">
        <is>
          <t xml:space="preserve">QD </t>
        </is>
      </c>
      <c r="S55" t="n">
        <v>2</v>
      </c>
      <c r="T55" t="n">
        <v>2</v>
      </c>
      <c r="U55" t="inlineStr">
        <is>
          <t>2005-04-18</t>
        </is>
      </c>
      <c r="V55" t="inlineStr">
        <is>
          <t>2005-04-18</t>
        </is>
      </c>
      <c r="W55" t="inlineStr">
        <is>
          <t>1992-12-02</t>
        </is>
      </c>
      <c r="X55" t="inlineStr">
        <is>
          <t>1992-12-02</t>
        </is>
      </c>
      <c r="Y55" t="n">
        <v>183</v>
      </c>
      <c r="Z55" t="n">
        <v>127</v>
      </c>
      <c r="AA55" t="n">
        <v>143</v>
      </c>
      <c r="AB55" t="n">
        <v>1</v>
      </c>
      <c r="AC55" t="n">
        <v>1</v>
      </c>
      <c r="AD55" t="n">
        <v>4</v>
      </c>
      <c r="AE55" t="n">
        <v>4</v>
      </c>
      <c r="AF55" t="n">
        <v>0</v>
      </c>
      <c r="AG55" t="n">
        <v>0</v>
      </c>
      <c r="AH55" t="n">
        <v>3</v>
      </c>
      <c r="AI55" t="n">
        <v>3</v>
      </c>
      <c r="AJ55" t="n">
        <v>4</v>
      </c>
      <c r="AK55" t="n">
        <v>4</v>
      </c>
      <c r="AL55" t="n">
        <v>0</v>
      </c>
      <c r="AM55" t="n">
        <v>0</v>
      </c>
      <c r="AN55" t="n">
        <v>0</v>
      </c>
      <c r="AO55" t="n">
        <v>0</v>
      </c>
      <c r="AP55" t="inlineStr">
        <is>
          <t>No</t>
        </is>
      </c>
      <c r="AQ55" t="inlineStr">
        <is>
          <t>No</t>
        </is>
      </c>
      <c r="AS55">
        <f>HYPERLINK("https://creighton-primo.hosted.exlibrisgroup.com/primo-explore/search?tab=default_tab&amp;search_scope=EVERYTHING&amp;vid=01CRU&amp;lang=en_US&amp;offset=0&amp;query=any,contains,991000233329702656","Catalog Record")</f>
        <v/>
      </c>
      <c r="AT55">
        <f>HYPERLINK("http://www.worldcat.org/oclc/9645478","WorldCat Record")</f>
        <v/>
      </c>
      <c r="AU55" t="inlineStr">
        <is>
          <t>43725662:eng</t>
        </is>
      </c>
      <c r="AV55" t="inlineStr">
        <is>
          <t>9645478</t>
        </is>
      </c>
      <c r="AW55" t="inlineStr">
        <is>
          <t>991000233329702656</t>
        </is>
      </c>
      <c r="AX55" t="inlineStr">
        <is>
          <t>991000233329702656</t>
        </is>
      </c>
      <c r="AY55" t="inlineStr">
        <is>
          <t>2269672650002656</t>
        </is>
      </c>
      <c r="AZ55" t="inlineStr">
        <is>
          <t>BOOK</t>
        </is>
      </c>
      <c r="BB55" t="inlineStr">
        <is>
          <t>9780387125756</t>
        </is>
      </c>
      <c r="BC55" t="inlineStr">
        <is>
          <t>32285001411825</t>
        </is>
      </c>
      <c r="BD55" t="inlineStr">
        <is>
          <t>893249198</t>
        </is>
      </c>
    </row>
    <row r="56">
      <c r="A56" t="inlineStr">
        <is>
          <t>No</t>
        </is>
      </c>
      <c r="B56" t="inlineStr">
        <is>
          <t>QD1 .F58 v.93</t>
        </is>
      </c>
      <c r="C56" t="inlineStr">
        <is>
          <t>0                      QD 0001000F  58                                                      v.93</t>
        </is>
      </c>
      <c r="D56" t="inlineStr">
        <is>
          <t>Van der Waals systems.</t>
        </is>
      </c>
      <c r="E56" t="inlineStr">
        <is>
          <t>V. 93</t>
        </is>
      </c>
      <c r="F56" t="inlineStr">
        <is>
          <t>No</t>
        </is>
      </c>
      <c r="G56" t="inlineStr">
        <is>
          <t>1</t>
        </is>
      </c>
      <c r="H56" t="inlineStr">
        <is>
          <t>No</t>
        </is>
      </c>
      <c r="I56" t="inlineStr">
        <is>
          <t>No</t>
        </is>
      </c>
      <c r="J56" t="inlineStr">
        <is>
          <t>0</t>
        </is>
      </c>
      <c r="L56" t="inlineStr">
        <is>
          <t>Berlin ; New York : Springer-Verlag, 1980.</t>
        </is>
      </c>
      <c r="M56" t="inlineStr">
        <is>
          <t>1980</t>
        </is>
      </c>
      <c r="O56" t="inlineStr">
        <is>
          <t>eng</t>
        </is>
      </c>
      <c r="P56" t="inlineStr">
        <is>
          <t xml:space="preserve">gw </t>
        </is>
      </c>
      <c r="Q56" t="inlineStr">
        <is>
          <t>Fortschritte der chemischen Forschung ; 93</t>
        </is>
      </c>
      <c r="R56" t="inlineStr">
        <is>
          <t xml:space="preserve">QD </t>
        </is>
      </c>
      <c r="S56" t="n">
        <v>2</v>
      </c>
      <c r="T56" t="n">
        <v>2</v>
      </c>
      <c r="U56" t="inlineStr">
        <is>
          <t>1998-09-03</t>
        </is>
      </c>
      <c r="V56" t="inlineStr">
        <is>
          <t>1998-09-03</t>
        </is>
      </c>
      <c r="W56" t="inlineStr">
        <is>
          <t>1993-10-06</t>
        </is>
      </c>
      <c r="X56" t="inlineStr">
        <is>
          <t>1993-10-06</t>
        </is>
      </c>
      <c r="Y56" t="n">
        <v>178</v>
      </c>
      <c r="Z56" t="n">
        <v>108</v>
      </c>
      <c r="AA56" t="n">
        <v>119</v>
      </c>
      <c r="AB56" t="n">
        <v>1</v>
      </c>
      <c r="AC56" t="n">
        <v>1</v>
      </c>
      <c r="AD56" t="n">
        <v>3</v>
      </c>
      <c r="AE56" t="n">
        <v>3</v>
      </c>
      <c r="AF56" t="n">
        <v>0</v>
      </c>
      <c r="AG56" t="n">
        <v>0</v>
      </c>
      <c r="AH56" t="n">
        <v>2</v>
      </c>
      <c r="AI56" t="n">
        <v>2</v>
      </c>
      <c r="AJ56" t="n">
        <v>2</v>
      </c>
      <c r="AK56" t="n">
        <v>2</v>
      </c>
      <c r="AL56" t="n">
        <v>0</v>
      </c>
      <c r="AM56" t="n">
        <v>0</v>
      </c>
      <c r="AN56" t="n">
        <v>0</v>
      </c>
      <c r="AO56" t="n">
        <v>0</v>
      </c>
      <c r="AP56" t="inlineStr">
        <is>
          <t>No</t>
        </is>
      </c>
      <c r="AQ56" t="inlineStr">
        <is>
          <t>No</t>
        </is>
      </c>
      <c r="AS56">
        <f>HYPERLINK("https://creighton-primo.hosted.exlibrisgroup.com/primo-explore/search?tab=default_tab&amp;search_scope=EVERYTHING&amp;vid=01CRU&amp;lang=en_US&amp;offset=0&amp;query=any,contains,991005003499702656","Catalog Record")</f>
        <v/>
      </c>
      <c r="AT56">
        <f>HYPERLINK("http://www.worldcat.org/oclc/6555280","WorldCat Record")</f>
        <v/>
      </c>
      <c r="AU56" t="inlineStr">
        <is>
          <t>3770831073:eng</t>
        </is>
      </c>
      <c r="AV56" t="inlineStr">
        <is>
          <t>6555280</t>
        </is>
      </c>
      <c r="AW56" t="inlineStr">
        <is>
          <t>991005003499702656</t>
        </is>
      </c>
      <c r="AX56" t="inlineStr">
        <is>
          <t>991005003499702656</t>
        </is>
      </c>
      <c r="AY56" t="inlineStr">
        <is>
          <t>2254914900002656</t>
        </is>
      </c>
      <c r="AZ56" t="inlineStr">
        <is>
          <t>BOOK</t>
        </is>
      </c>
      <c r="BB56" t="inlineStr">
        <is>
          <t>9780387100586</t>
        </is>
      </c>
      <c r="BC56" t="inlineStr">
        <is>
          <t>32285001772952</t>
        </is>
      </c>
      <c r="BD56" t="inlineStr">
        <is>
          <t>893326039</t>
        </is>
      </c>
    </row>
    <row r="57">
      <c r="A57" t="inlineStr">
        <is>
          <t>No</t>
        </is>
      </c>
      <c r="B57" t="inlineStr">
        <is>
          <t>QD101 .B48</t>
        </is>
      </c>
      <c r="C57" t="inlineStr">
        <is>
          <t>0                      QD 0101000B  48</t>
        </is>
      </c>
      <c r="D57" t="inlineStr">
        <is>
          <t>Elementary quantitative analysis : theory and practice / [by] W.J. Blaedel [and] V.W. Meloche.</t>
        </is>
      </c>
      <c r="F57" t="inlineStr">
        <is>
          <t>No</t>
        </is>
      </c>
      <c r="G57" t="inlineStr">
        <is>
          <t>1</t>
        </is>
      </c>
      <c r="H57" t="inlineStr">
        <is>
          <t>No</t>
        </is>
      </c>
      <c r="I57" t="inlineStr">
        <is>
          <t>No</t>
        </is>
      </c>
      <c r="J57" t="inlineStr">
        <is>
          <t>0</t>
        </is>
      </c>
      <c r="K57" t="inlineStr">
        <is>
          <t>Blaedel, W. J. (Walter J.)</t>
        </is>
      </c>
      <c r="L57" t="inlineStr">
        <is>
          <t>Evanston, Ill. : Row, Peterson, [1957]</t>
        </is>
      </c>
      <c r="M57" t="inlineStr">
        <is>
          <t>1957</t>
        </is>
      </c>
      <c r="O57" t="inlineStr">
        <is>
          <t>eng</t>
        </is>
      </c>
      <c r="P57" t="inlineStr">
        <is>
          <t>ilu</t>
        </is>
      </c>
      <c r="R57" t="inlineStr">
        <is>
          <t xml:space="preserve">QD </t>
        </is>
      </c>
      <c r="S57" t="n">
        <v>3</v>
      </c>
      <c r="T57" t="n">
        <v>3</v>
      </c>
      <c r="U57" t="inlineStr">
        <is>
          <t>1996-03-20</t>
        </is>
      </c>
      <c r="V57" t="inlineStr">
        <is>
          <t>1996-03-20</t>
        </is>
      </c>
      <c r="W57" t="inlineStr">
        <is>
          <t>1991-09-05</t>
        </is>
      </c>
      <c r="X57" t="inlineStr">
        <is>
          <t>1991-09-05</t>
        </is>
      </c>
      <c r="Y57" t="n">
        <v>109</v>
      </c>
      <c r="Z57" t="n">
        <v>88</v>
      </c>
      <c r="AA57" t="n">
        <v>341</v>
      </c>
      <c r="AB57" t="n">
        <v>2</v>
      </c>
      <c r="AC57" t="n">
        <v>5</v>
      </c>
      <c r="AD57" t="n">
        <v>1</v>
      </c>
      <c r="AE57" t="n">
        <v>8</v>
      </c>
      <c r="AF57" t="n">
        <v>1</v>
      </c>
      <c r="AG57" t="n">
        <v>3</v>
      </c>
      <c r="AH57" t="n">
        <v>0</v>
      </c>
      <c r="AI57" t="n">
        <v>2</v>
      </c>
      <c r="AJ57" t="n">
        <v>0</v>
      </c>
      <c r="AK57" t="n">
        <v>1</v>
      </c>
      <c r="AL57" t="n">
        <v>0</v>
      </c>
      <c r="AM57" t="n">
        <v>3</v>
      </c>
      <c r="AN57" t="n">
        <v>0</v>
      </c>
      <c r="AO57" t="n">
        <v>0</v>
      </c>
      <c r="AP57" t="inlineStr">
        <is>
          <t>No</t>
        </is>
      </c>
      <c r="AQ57" t="inlineStr">
        <is>
          <t>Yes</t>
        </is>
      </c>
      <c r="AR57">
        <f>HYPERLINK("http://catalog.hathitrust.org/Record/009226892","HathiTrust Record")</f>
        <v/>
      </c>
      <c r="AS57">
        <f>HYPERLINK("https://creighton-primo.hosted.exlibrisgroup.com/primo-explore/search?tab=default_tab&amp;search_scope=EVERYTHING&amp;vid=01CRU&amp;lang=en_US&amp;offset=0&amp;query=any,contains,991000310859702656","Catalog Record")</f>
        <v/>
      </c>
      <c r="AT57">
        <f>HYPERLINK("http://www.worldcat.org/oclc/10098647","WorldCat Record")</f>
        <v/>
      </c>
      <c r="AU57" t="inlineStr">
        <is>
          <t>4757648746:eng</t>
        </is>
      </c>
      <c r="AV57" t="inlineStr">
        <is>
          <t>10098647</t>
        </is>
      </c>
      <c r="AW57" t="inlineStr">
        <is>
          <t>991000310859702656</t>
        </is>
      </c>
      <c r="AX57" t="inlineStr">
        <is>
          <t>991000310859702656</t>
        </is>
      </c>
      <c r="AY57" t="inlineStr">
        <is>
          <t>2266268250002656</t>
        </is>
      </c>
      <c r="AZ57" t="inlineStr">
        <is>
          <t>BOOK</t>
        </is>
      </c>
      <c r="BC57" t="inlineStr">
        <is>
          <t>32285000736487</t>
        </is>
      </c>
      <c r="BD57" t="inlineStr">
        <is>
          <t>893413250</t>
        </is>
      </c>
    </row>
    <row r="58">
      <c r="A58" t="inlineStr">
        <is>
          <t>No</t>
        </is>
      </c>
      <c r="B58" t="inlineStr">
        <is>
          <t>QD101 .S5</t>
        </is>
      </c>
      <c r="C58" t="inlineStr">
        <is>
          <t>0                      QD 0101000S  5</t>
        </is>
      </c>
      <c r="D58" t="inlineStr">
        <is>
          <t>Analytical chemistry, an introduction [by] Douglas A. Skoog &amp; Donald M. West.</t>
        </is>
      </c>
      <c r="F58" t="inlineStr">
        <is>
          <t>No</t>
        </is>
      </c>
      <c r="G58" t="inlineStr">
        <is>
          <t>1</t>
        </is>
      </c>
      <c r="H58" t="inlineStr">
        <is>
          <t>No</t>
        </is>
      </c>
      <c r="I58" t="inlineStr">
        <is>
          <t>No</t>
        </is>
      </c>
      <c r="J58" t="inlineStr">
        <is>
          <t>0</t>
        </is>
      </c>
      <c r="K58" t="inlineStr">
        <is>
          <t>Skoog, Douglas A.</t>
        </is>
      </c>
      <c r="L58" t="inlineStr">
        <is>
          <t>New York, Holt, Rinehart and Winston [1965]</t>
        </is>
      </c>
      <c r="M58" t="inlineStr">
        <is>
          <t>1965</t>
        </is>
      </c>
      <c r="O58" t="inlineStr">
        <is>
          <t>eng</t>
        </is>
      </c>
      <c r="P58" t="inlineStr">
        <is>
          <t>nyu</t>
        </is>
      </c>
      <c r="R58" t="inlineStr">
        <is>
          <t xml:space="preserve">QD </t>
        </is>
      </c>
      <c r="S58" t="n">
        <v>4</v>
      </c>
      <c r="T58" t="n">
        <v>4</v>
      </c>
      <c r="U58" t="inlineStr">
        <is>
          <t>1999-09-20</t>
        </is>
      </c>
      <c r="V58" t="inlineStr">
        <is>
          <t>1999-09-20</t>
        </is>
      </c>
      <c r="W58" t="inlineStr">
        <is>
          <t>1997-05-29</t>
        </is>
      </c>
      <c r="X58" t="inlineStr">
        <is>
          <t>1997-05-29</t>
        </is>
      </c>
      <c r="Y58" t="n">
        <v>169</v>
      </c>
      <c r="Z58" t="n">
        <v>125</v>
      </c>
      <c r="AA58" t="n">
        <v>560</v>
      </c>
      <c r="AB58" t="n">
        <v>2</v>
      </c>
      <c r="AC58" t="n">
        <v>4</v>
      </c>
      <c r="AD58" t="n">
        <v>9</v>
      </c>
      <c r="AE58" t="n">
        <v>22</v>
      </c>
      <c r="AF58" t="n">
        <v>4</v>
      </c>
      <c r="AG58" t="n">
        <v>8</v>
      </c>
      <c r="AH58" t="n">
        <v>0</v>
      </c>
      <c r="AI58" t="n">
        <v>4</v>
      </c>
      <c r="AJ58" t="n">
        <v>6</v>
      </c>
      <c r="AK58" t="n">
        <v>13</v>
      </c>
      <c r="AL58" t="n">
        <v>1</v>
      </c>
      <c r="AM58" t="n">
        <v>2</v>
      </c>
      <c r="AN58" t="n">
        <v>0</v>
      </c>
      <c r="AO58" t="n">
        <v>0</v>
      </c>
      <c r="AP58" t="inlineStr">
        <is>
          <t>No</t>
        </is>
      </c>
      <c r="AQ58" t="inlineStr">
        <is>
          <t>Yes</t>
        </is>
      </c>
      <c r="AR58">
        <f>HYPERLINK("http://catalog.hathitrust.org/Record/001487369","HathiTrust Record")</f>
        <v/>
      </c>
      <c r="AS58">
        <f>HYPERLINK("https://creighton-primo.hosted.exlibrisgroup.com/primo-explore/search?tab=default_tab&amp;search_scope=EVERYTHING&amp;vid=01CRU&amp;lang=en_US&amp;offset=0&amp;query=any,contains,991002956019702656","Catalog Record")</f>
        <v/>
      </c>
      <c r="AT58">
        <f>HYPERLINK("http://www.worldcat.org/oclc/542147","WorldCat Record")</f>
        <v/>
      </c>
      <c r="AU58" t="inlineStr">
        <is>
          <t>2864641995:eng</t>
        </is>
      </c>
      <c r="AV58" t="inlineStr">
        <is>
          <t>542147</t>
        </is>
      </c>
      <c r="AW58" t="inlineStr">
        <is>
          <t>991002956019702656</t>
        </is>
      </c>
      <c r="AX58" t="inlineStr">
        <is>
          <t>991002956019702656</t>
        </is>
      </c>
      <c r="AY58" t="inlineStr">
        <is>
          <t>2266863480002656</t>
        </is>
      </c>
      <c r="AZ58" t="inlineStr">
        <is>
          <t>BOOK</t>
        </is>
      </c>
      <c r="BC58" t="inlineStr">
        <is>
          <t>32285002778479</t>
        </is>
      </c>
      <c r="BD58" t="inlineStr">
        <is>
          <t>893517980</t>
        </is>
      </c>
    </row>
    <row r="59">
      <c r="A59" t="inlineStr">
        <is>
          <t>No</t>
        </is>
      </c>
      <c r="B59" t="inlineStr">
        <is>
          <t>QD101 .V58 1961</t>
        </is>
      </c>
      <c r="C59" t="inlineStr">
        <is>
          <t>0                      QD 0101000V  58          1961</t>
        </is>
      </c>
      <c r="D59" t="inlineStr">
        <is>
          <t>A text-book of quantitative inorganic analysis, including elementary instrumental analysis.</t>
        </is>
      </c>
      <c r="F59" t="inlineStr">
        <is>
          <t>No</t>
        </is>
      </c>
      <c r="G59" t="inlineStr">
        <is>
          <t>1</t>
        </is>
      </c>
      <c r="H59" t="inlineStr">
        <is>
          <t>No</t>
        </is>
      </c>
      <c r="I59" t="inlineStr">
        <is>
          <t>No</t>
        </is>
      </c>
      <c r="J59" t="inlineStr">
        <is>
          <t>0</t>
        </is>
      </c>
      <c r="K59" t="inlineStr">
        <is>
          <t>Vogel, Arthur I. (Arthur Israel)</t>
        </is>
      </c>
      <c r="L59" t="inlineStr">
        <is>
          <t>New York, Wiley [1962, c1961]</t>
        </is>
      </c>
      <c r="M59" t="inlineStr">
        <is>
          <t>1962</t>
        </is>
      </c>
      <c r="N59" t="inlineStr">
        <is>
          <t>3d ed.</t>
        </is>
      </c>
      <c r="O59" t="inlineStr">
        <is>
          <t>eng</t>
        </is>
      </c>
      <c r="P59" t="inlineStr">
        <is>
          <t>nyu</t>
        </is>
      </c>
      <c r="R59" t="inlineStr">
        <is>
          <t xml:space="preserve">QD </t>
        </is>
      </c>
      <c r="S59" t="n">
        <v>2</v>
      </c>
      <c r="T59" t="n">
        <v>2</v>
      </c>
      <c r="U59" t="inlineStr">
        <is>
          <t>2001-04-24</t>
        </is>
      </c>
      <c r="V59" t="inlineStr">
        <is>
          <t>2001-04-24</t>
        </is>
      </c>
      <c r="W59" t="inlineStr">
        <is>
          <t>1997-05-29</t>
        </is>
      </c>
      <c r="X59" t="inlineStr">
        <is>
          <t>1997-05-29</t>
        </is>
      </c>
      <c r="Y59" t="n">
        <v>313</v>
      </c>
      <c r="Z59" t="n">
        <v>271</v>
      </c>
      <c r="AA59" t="n">
        <v>358</v>
      </c>
      <c r="AB59" t="n">
        <v>2</v>
      </c>
      <c r="AC59" t="n">
        <v>2</v>
      </c>
      <c r="AD59" t="n">
        <v>7</v>
      </c>
      <c r="AE59" t="n">
        <v>8</v>
      </c>
      <c r="AF59" t="n">
        <v>1</v>
      </c>
      <c r="AG59" t="n">
        <v>2</v>
      </c>
      <c r="AH59" t="n">
        <v>2</v>
      </c>
      <c r="AI59" t="n">
        <v>2</v>
      </c>
      <c r="AJ59" t="n">
        <v>5</v>
      </c>
      <c r="AK59" t="n">
        <v>6</v>
      </c>
      <c r="AL59" t="n">
        <v>1</v>
      </c>
      <c r="AM59" t="n">
        <v>1</v>
      </c>
      <c r="AN59" t="n">
        <v>0</v>
      </c>
      <c r="AO59" t="n">
        <v>0</v>
      </c>
      <c r="AP59" t="inlineStr">
        <is>
          <t>No</t>
        </is>
      </c>
      <c r="AQ59" t="inlineStr">
        <is>
          <t>Yes</t>
        </is>
      </c>
      <c r="AR59">
        <f>HYPERLINK("http://catalog.hathitrust.org/Record/000119862","HathiTrust Record")</f>
        <v/>
      </c>
      <c r="AS59">
        <f>HYPERLINK("https://creighton-primo.hosted.exlibrisgroup.com/primo-explore/search?tab=default_tab&amp;search_scope=EVERYTHING&amp;vid=01CRU&amp;lang=en_US&amp;offset=0&amp;query=any,contains,991002956049702656","Catalog Record")</f>
        <v/>
      </c>
      <c r="AT59">
        <f>HYPERLINK("http://www.worldcat.org/oclc/542149","WorldCat Record")</f>
        <v/>
      </c>
      <c r="AU59" t="inlineStr">
        <is>
          <t>3748911438:eng</t>
        </is>
      </c>
      <c r="AV59" t="inlineStr">
        <is>
          <t>542149</t>
        </is>
      </c>
      <c r="AW59" t="inlineStr">
        <is>
          <t>991002956049702656</t>
        </is>
      </c>
      <c r="AX59" t="inlineStr">
        <is>
          <t>991002956049702656</t>
        </is>
      </c>
      <c r="AY59" t="inlineStr">
        <is>
          <t>2266863360002656</t>
        </is>
      </c>
      <c r="AZ59" t="inlineStr">
        <is>
          <t>BOOK</t>
        </is>
      </c>
      <c r="BC59" t="inlineStr">
        <is>
          <t>32285002778495</t>
        </is>
      </c>
      <c r="BD59" t="inlineStr">
        <is>
          <t>893704717</t>
        </is>
      </c>
    </row>
    <row r="60">
      <c r="A60" t="inlineStr">
        <is>
          <t>No</t>
        </is>
      </c>
      <c r="B60" t="inlineStr">
        <is>
          <t>QD101 .W6 1940</t>
        </is>
      </c>
      <c r="C60" t="inlineStr">
        <is>
          <t>0                      QD 0101000W  6           1940</t>
        </is>
      </c>
      <c r="D60" t="inlineStr">
        <is>
          <t>Elementary quantitative analysis : theory and practice / by Hobart H. Willard and N. Howell Furman.</t>
        </is>
      </c>
      <c r="F60" t="inlineStr">
        <is>
          <t>No</t>
        </is>
      </c>
      <c r="G60" t="inlineStr">
        <is>
          <t>1</t>
        </is>
      </c>
      <c r="H60" t="inlineStr">
        <is>
          <t>No</t>
        </is>
      </c>
      <c r="I60" t="inlineStr">
        <is>
          <t>No</t>
        </is>
      </c>
      <c r="J60" t="inlineStr">
        <is>
          <t>0</t>
        </is>
      </c>
      <c r="K60" t="inlineStr">
        <is>
          <t>Willard, Hobart H. (Hobart Hurd), 1881-1974.</t>
        </is>
      </c>
      <c r="L60" t="inlineStr">
        <is>
          <t>New York : Van Nostrand company, inc., [c1940]</t>
        </is>
      </c>
      <c r="M60" t="inlineStr">
        <is>
          <t>1940</t>
        </is>
      </c>
      <c r="N60" t="inlineStr">
        <is>
          <t>3d ed.</t>
        </is>
      </c>
      <c r="O60" t="inlineStr">
        <is>
          <t>eng</t>
        </is>
      </c>
      <c r="P60" t="inlineStr">
        <is>
          <t xml:space="preserve">xx </t>
        </is>
      </c>
      <c r="R60" t="inlineStr">
        <is>
          <t xml:space="preserve">QD </t>
        </is>
      </c>
      <c r="S60" t="n">
        <v>1</v>
      </c>
      <c r="T60" t="n">
        <v>1</v>
      </c>
      <c r="U60" t="inlineStr">
        <is>
          <t>2000-07-10</t>
        </is>
      </c>
      <c r="V60" t="inlineStr">
        <is>
          <t>2000-07-10</t>
        </is>
      </c>
      <c r="W60" t="inlineStr">
        <is>
          <t>1994-01-14</t>
        </is>
      </c>
      <c r="X60" t="inlineStr">
        <is>
          <t>1994-01-14</t>
        </is>
      </c>
      <c r="Y60" t="n">
        <v>163</v>
      </c>
      <c r="Z60" t="n">
        <v>137</v>
      </c>
      <c r="AA60" t="n">
        <v>198</v>
      </c>
      <c r="AB60" t="n">
        <v>2</v>
      </c>
      <c r="AC60" t="n">
        <v>3</v>
      </c>
      <c r="AD60" t="n">
        <v>3</v>
      </c>
      <c r="AE60" t="n">
        <v>7</v>
      </c>
      <c r="AF60" t="n">
        <v>0</v>
      </c>
      <c r="AG60" t="n">
        <v>2</v>
      </c>
      <c r="AH60" t="n">
        <v>1</v>
      </c>
      <c r="AI60" t="n">
        <v>1</v>
      </c>
      <c r="AJ60" t="n">
        <v>1</v>
      </c>
      <c r="AK60" t="n">
        <v>2</v>
      </c>
      <c r="AL60" t="n">
        <v>1</v>
      </c>
      <c r="AM60" t="n">
        <v>2</v>
      </c>
      <c r="AN60" t="n">
        <v>0</v>
      </c>
      <c r="AO60" t="n">
        <v>0</v>
      </c>
      <c r="AP60" t="inlineStr">
        <is>
          <t>Yes</t>
        </is>
      </c>
      <c r="AQ60" t="inlineStr">
        <is>
          <t>No</t>
        </is>
      </c>
      <c r="AR60">
        <f>HYPERLINK("http://catalog.hathitrust.org/Record/001487358","HathiTrust Record")</f>
        <v/>
      </c>
      <c r="AS60">
        <f>HYPERLINK("https://creighton-primo.hosted.exlibrisgroup.com/primo-explore/search?tab=default_tab&amp;search_scope=EVERYTHING&amp;vid=01CRU&amp;lang=en_US&amp;offset=0&amp;query=any,contains,991003642339702656","Catalog Record")</f>
        <v/>
      </c>
      <c r="AT60">
        <f>HYPERLINK("http://www.worldcat.org/oclc/1240370","WorldCat Record")</f>
        <v/>
      </c>
      <c r="AU60" t="inlineStr">
        <is>
          <t>159308011:eng</t>
        </is>
      </c>
      <c r="AV60" t="inlineStr">
        <is>
          <t>1240370</t>
        </is>
      </c>
      <c r="AW60" t="inlineStr">
        <is>
          <t>991003642339702656</t>
        </is>
      </c>
      <c r="AX60" t="inlineStr">
        <is>
          <t>991003642339702656</t>
        </is>
      </c>
      <c r="AY60" t="inlineStr">
        <is>
          <t>2257812810002656</t>
        </is>
      </c>
      <c r="AZ60" t="inlineStr">
        <is>
          <t>BOOK</t>
        </is>
      </c>
      <c r="BC60" t="inlineStr">
        <is>
          <t>32285001829794</t>
        </is>
      </c>
      <c r="BD60" t="inlineStr">
        <is>
          <t>893422787</t>
        </is>
      </c>
    </row>
    <row r="61">
      <c r="A61" t="inlineStr">
        <is>
          <t>No</t>
        </is>
      </c>
      <c r="B61" t="inlineStr">
        <is>
          <t>QD101.2 .G78</t>
        </is>
      </c>
      <c r="C61" t="inlineStr">
        <is>
          <t>0                      QD 0101200G  78</t>
        </is>
      </c>
      <c r="D61" t="inlineStr">
        <is>
          <t>Introduction to quantitative chemical analysis [by] Ernest Grunwald [and] Louis J. Kirschenbaum.</t>
        </is>
      </c>
      <c r="F61" t="inlineStr">
        <is>
          <t>No</t>
        </is>
      </c>
      <c r="G61" t="inlineStr">
        <is>
          <t>1</t>
        </is>
      </c>
      <c r="H61" t="inlineStr">
        <is>
          <t>No</t>
        </is>
      </c>
      <c r="I61" t="inlineStr">
        <is>
          <t>No</t>
        </is>
      </c>
      <c r="J61" t="inlineStr">
        <is>
          <t>0</t>
        </is>
      </c>
      <c r="K61" t="inlineStr">
        <is>
          <t>Grunwald, Ernest, 1923-2002.</t>
        </is>
      </c>
      <c r="L61" t="inlineStr">
        <is>
          <t>Englewood Cliffs, N.J., Prentice-Hall [1972]</t>
        </is>
      </c>
      <c r="M61" t="inlineStr">
        <is>
          <t>1972</t>
        </is>
      </c>
      <c r="O61" t="inlineStr">
        <is>
          <t>eng</t>
        </is>
      </c>
      <c r="P61" t="inlineStr">
        <is>
          <t>nju</t>
        </is>
      </c>
      <c r="R61" t="inlineStr">
        <is>
          <t xml:space="preserve">QD </t>
        </is>
      </c>
      <c r="S61" t="n">
        <v>3</v>
      </c>
      <c r="T61" t="n">
        <v>3</v>
      </c>
      <c r="U61" t="inlineStr">
        <is>
          <t>1999-09-26</t>
        </is>
      </c>
      <c r="V61" t="inlineStr">
        <is>
          <t>1999-09-26</t>
        </is>
      </c>
      <c r="W61" t="inlineStr">
        <is>
          <t>1997-05-29</t>
        </is>
      </c>
      <c r="X61" t="inlineStr">
        <is>
          <t>1997-05-29</t>
        </is>
      </c>
      <c r="Y61" t="n">
        <v>204</v>
      </c>
      <c r="Z61" t="n">
        <v>151</v>
      </c>
      <c r="AA61" t="n">
        <v>153</v>
      </c>
      <c r="AB61" t="n">
        <v>2</v>
      </c>
      <c r="AC61" t="n">
        <v>2</v>
      </c>
      <c r="AD61" t="n">
        <v>2</v>
      </c>
      <c r="AE61" t="n">
        <v>2</v>
      </c>
      <c r="AF61" t="n">
        <v>2</v>
      </c>
      <c r="AG61" t="n">
        <v>2</v>
      </c>
      <c r="AH61" t="n">
        <v>0</v>
      </c>
      <c r="AI61" t="n">
        <v>0</v>
      </c>
      <c r="AJ61" t="n">
        <v>1</v>
      </c>
      <c r="AK61" t="n">
        <v>1</v>
      </c>
      <c r="AL61" t="n">
        <v>0</v>
      </c>
      <c r="AM61" t="n">
        <v>0</v>
      </c>
      <c r="AN61" t="n">
        <v>0</v>
      </c>
      <c r="AO61" t="n">
        <v>0</v>
      </c>
      <c r="AP61" t="inlineStr">
        <is>
          <t>No</t>
        </is>
      </c>
      <c r="AQ61" t="inlineStr">
        <is>
          <t>Yes</t>
        </is>
      </c>
      <c r="AR61">
        <f>HYPERLINK("http://catalog.hathitrust.org/Record/001495397","HathiTrust Record")</f>
        <v/>
      </c>
      <c r="AS61">
        <f>HYPERLINK("https://creighton-primo.hosted.exlibrisgroup.com/primo-explore/search?tab=default_tab&amp;search_scope=EVERYTHING&amp;vid=01CRU&amp;lang=en_US&amp;offset=0&amp;query=any,contains,991002344189702656","Catalog Record")</f>
        <v/>
      </c>
      <c r="AT61">
        <f>HYPERLINK("http://www.worldcat.org/oclc/324227","WorldCat Record")</f>
        <v/>
      </c>
      <c r="AU61" t="inlineStr">
        <is>
          <t>144696078:eng</t>
        </is>
      </c>
      <c r="AV61" t="inlineStr">
        <is>
          <t>324227</t>
        </is>
      </c>
      <c r="AW61" t="inlineStr">
        <is>
          <t>991002344189702656</t>
        </is>
      </c>
      <c r="AX61" t="inlineStr">
        <is>
          <t>991002344189702656</t>
        </is>
      </c>
      <c r="AY61" t="inlineStr">
        <is>
          <t>2254707860002656</t>
        </is>
      </c>
      <c r="AZ61" t="inlineStr">
        <is>
          <t>BOOK</t>
        </is>
      </c>
      <c r="BB61" t="inlineStr">
        <is>
          <t>9780134938257</t>
        </is>
      </c>
      <c r="BC61" t="inlineStr">
        <is>
          <t>32285002778503</t>
        </is>
      </c>
      <c r="BD61" t="inlineStr">
        <is>
          <t>893341322</t>
        </is>
      </c>
    </row>
    <row r="62">
      <c r="A62" t="inlineStr">
        <is>
          <t>No</t>
        </is>
      </c>
      <c r="B62" t="inlineStr">
        <is>
          <t>QD11 .B4413 1996</t>
        </is>
      </c>
      <c r="C62" t="inlineStr">
        <is>
          <t>0                      QD 0011000B  4413        1996</t>
        </is>
      </c>
      <c r="D62" t="inlineStr">
        <is>
          <t>A history of chemistry / Bernadette Bensaude-Vincent and Isabelle Stengers ; translated by Deborah van Dam.</t>
        </is>
      </c>
      <c r="F62" t="inlineStr">
        <is>
          <t>No</t>
        </is>
      </c>
      <c r="G62" t="inlineStr">
        <is>
          <t>1</t>
        </is>
      </c>
      <c r="H62" t="inlineStr">
        <is>
          <t>No</t>
        </is>
      </c>
      <c r="I62" t="inlineStr">
        <is>
          <t>No</t>
        </is>
      </c>
      <c r="J62" t="inlineStr">
        <is>
          <t>0</t>
        </is>
      </c>
      <c r="K62" t="inlineStr">
        <is>
          <t>Bensaude-Vincent, Bernadette.</t>
        </is>
      </c>
      <c r="L62" t="inlineStr">
        <is>
          <t>Cambridge, Mass. : Harvard University Press, 1996.</t>
        </is>
      </c>
      <c r="M62" t="inlineStr">
        <is>
          <t>1996</t>
        </is>
      </c>
      <c r="O62" t="inlineStr">
        <is>
          <t>eng</t>
        </is>
      </c>
      <c r="P62" t="inlineStr">
        <is>
          <t>mau</t>
        </is>
      </c>
      <c r="R62" t="inlineStr">
        <is>
          <t xml:space="preserve">QD </t>
        </is>
      </c>
      <c r="S62" t="n">
        <v>3</v>
      </c>
      <c r="T62" t="n">
        <v>3</v>
      </c>
      <c r="U62" t="inlineStr">
        <is>
          <t>1998-03-19</t>
        </is>
      </c>
      <c r="V62" t="inlineStr">
        <is>
          <t>1998-03-19</t>
        </is>
      </c>
      <c r="W62" t="inlineStr">
        <is>
          <t>1997-04-03</t>
        </is>
      </c>
      <c r="X62" t="inlineStr">
        <is>
          <t>1997-04-03</t>
        </is>
      </c>
      <c r="Y62" t="n">
        <v>490</v>
      </c>
      <c r="Z62" t="n">
        <v>383</v>
      </c>
      <c r="AA62" t="n">
        <v>383</v>
      </c>
      <c r="AB62" t="n">
        <v>4</v>
      </c>
      <c r="AC62" t="n">
        <v>4</v>
      </c>
      <c r="AD62" t="n">
        <v>15</v>
      </c>
      <c r="AE62" t="n">
        <v>15</v>
      </c>
      <c r="AF62" t="n">
        <v>3</v>
      </c>
      <c r="AG62" t="n">
        <v>3</v>
      </c>
      <c r="AH62" t="n">
        <v>4</v>
      </c>
      <c r="AI62" t="n">
        <v>4</v>
      </c>
      <c r="AJ62" t="n">
        <v>8</v>
      </c>
      <c r="AK62" t="n">
        <v>8</v>
      </c>
      <c r="AL62" t="n">
        <v>3</v>
      </c>
      <c r="AM62" t="n">
        <v>3</v>
      </c>
      <c r="AN62" t="n">
        <v>0</v>
      </c>
      <c r="AO62" t="n">
        <v>0</v>
      </c>
      <c r="AP62" t="inlineStr">
        <is>
          <t>No</t>
        </is>
      </c>
      <c r="AQ62" t="inlineStr">
        <is>
          <t>No</t>
        </is>
      </c>
      <c r="AS62">
        <f>HYPERLINK("https://creighton-primo.hosted.exlibrisgroup.com/primo-explore/search?tab=default_tab&amp;search_scope=EVERYTHING&amp;vid=01CRU&amp;lang=en_US&amp;offset=0&amp;query=any,contains,991002666819702656","Catalog Record")</f>
        <v/>
      </c>
      <c r="AT62">
        <f>HYPERLINK("http://www.worldcat.org/oclc/34878931","WorldCat Record")</f>
        <v/>
      </c>
      <c r="AU62" t="inlineStr">
        <is>
          <t>4495092599:eng</t>
        </is>
      </c>
      <c r="AV62" t="inlineStr">
        <is>
          <t>34878931</t>
        </is>
      </c>
      <c r="AW62" t="inlineStr">
        <is>
          <t>991002666819702656</t>
        </is>
      </c>
      <c r="AX62" t="inlineStr">
        <is>
          <t>991002666819702656</t>
        </is>
      </c>
      <c r="AY62" t="inlineStr">
        <is>
          <t>2268491660002656</t>
        </is>
      </c>
      <c r="AZ62" t="inlineStr">
        <is>
          <t>BOOK</t>
        </is>
      </c>
      <c r="BB62" t="inlineStr">
        <is>
          <t>9780674396593</t>
        </is>
      </c>
      <c r="BC62" t="inlineStr">
        <is>
          <t>32285002478682</t>
        </is>
      </c>
      <c r="BD62" t="inlineStr">
        <is>
          <t>893341706</t>
        </is>
      </c>
    </row>
    <row r="63">
      <c r="A63" t="inlineStr">
        <is>
          <t>No</t>
        </is>
      </c>
      <c r="B63" t="inlineStr">
        <is>
          <t>QD11 .C59 1995</t>
        </is>
      </c>
      <c r="C63" t="inlineStr">
        <is>
          <t>0                      QD 0011000C  59          1995</t>
        </is>
      </c>
      <c r="D63" t="inlineStr">
        <is>
          <t>Creations of fire : chemistry's lively history from alchemy to the atomic age / Cathy Cobb and Harold Goldwhite.</t>
        </is>
      </c>
      <c r="F63" t="inlineStr">
        <is>
          <t>No</t>
        </is>
      </c>
      <c r="G63" t="inlineStr">
        <is>
          <t>1</t>
        </is>
      </c>
      <c r="H63" t="inlineStr">
        <is>
          <t>No</t>
        </is>
      </c>
      <c r="I63" t="inlineStr">
        <is>
          <t>No</t>
        </is>
      </c>
      <c r="J63" t="inlineStr">
        <is>
          <t>0</t>
        </is>
      </c>
      <c r="K63" t="inlineStr">
        <is>
          <t>Cobb, Cathy.</t>
        </is>
      </c>
      <c r="L63" t="inlineStr">
        <is>
          <t>New York : Plenum Press, c1995.</t>
        </is>
      </c>
      <c r="M63" t="inlineStr">
        <is>
          <t>1995</t>
        </is>
      </c>
      <c r="O63" t="inlineStr">
        <is>
          <t>eng</t>
        </is>
      </c>
      <c r="P63" t="inlineStr">
        <is>
          <t>nyu</t>
        </is>
      </c>
      <c r="R63" t="inlineStr">
        <is>
          <t xml:space="preserve">QD </t>
        </is>
      </c>
      <c r="S63" t="n">
        <v>5</v>
      </c>
      <c r="T63" t="n">
        <v>5</v>
      </c>
      <c r="U63" t="inlineStr">
        <is>
          <t>1999-03-20</t>
        </is>
      </c>
      <c r="V63" t="inlineStr">
        <is>
          <t>1999-03-20</t>
        </is>
      </c>
      <c r="W63" t="inlineStr">
        <is>
          <t>1996-05-13</t>
        </is>
      </c>
      <c r="X63" t="inlineStr">
        <is>
          <t>1996-05-13</t>
        </is>
      </c>
      <c r="Y63" t="n">
        <v>1341</v>
      </c>
      <c r="Z63" t="n">
        <v>1222</v>
      </c>
      <c r="AA63" t="n">
        <v>1448</v>
      </c>
      <c r="AB63" t="n">
        <v>8</v>
      </c>
      <c r="AC63" t="n">
        <v>11</v>
      </c>
      <c r="AD63" t="n">
        <v>33</v>
      </c>
      <c r="AE63" t="n">
        <v>36</v>
      </c>
      <c r="AF63" t="n">
        <v>16</v>
      </c>
      <c r="AG63" t="n">
        <v>16</v>
      </c>
      <c r="AH63" t="n">
        <v>4</v>
      </c>
      <c r="AI63" t="n">
        <v>4</v>
      </c>
      <c r="AJ63" t="n">
        <v>16</v>
      </c>
      <c r="AK63" t="n">
        <v>16</v>
      </c>
      <c r="AL63" t="n">
        <v>5</v>
      </c>
      <c r="AM63" t="n">
        <v>8</v>
      </c>
      <c r="AN63" t="n">
        <v>0</v>
      </c>
      <c r="AO63" t="n">
        <v>0</v>
      </c>
      <c r="AP63" t="inlineStr">
        <is>
          <t>No</t>
        </is>
      </c>
      <c r="AQ63" t="inlineStr">
        <is>
          <t>Yes</t>
        </is>
      </c>
      <c r="AR63">
        <f>HYPERLINK("http://catalog.hathitrust.org/Record/003006379","HathiTrust Record")</f>
        <v/>
      </c>
      <c r="AS63">
        <f>HYPERLINK("https://creighton-primo.hosted.exlibrisgroup.com/primo-explore/search?tab=default_tab&amp;search_scope=EVERYTHING&amp;vid=01CRU&amp;lang=en_US&amp;offset=0&amp;query=any,contains,991002538269702656","Catalog Record")</f>
        <v/>
      </c>
      <c r="AT63">
        <f>HYPERLINK("http://www.worldcat.org/oclc/32970753","WorldCat Record")</f>
        <v/>
      </c>
      <c r="AU63" t="inlineStr">
        <is>
          <t>37570397:eng</t>
        </is>
      </c>
      <c r="AV63" t="inlineStr">
        <is>
          <t>32970753</t>
        </is>
      </c>
      <c r="AW63" t="inlineStr">
        <is>
          <t>991002538269702656</t>
        </is>
      </c>
      <c r="AX63" t="inlineStr">
        <is>
          <t>991002538269702656</t>
        </is>
      </c>
      <c r="AY63" t="inlineStr">
        <is>
          <t>2269241450002656</t>
        </is>
      </c>
      <c r="AZ63" t="inlineStr">
        <is>
          <t>BOOK</t>
        </is>
      </c>
      <c r="BB63" t="inlineStr">
        <is>
          <t>9780306450877</t>
        </is>
      </c>
      <c r="BC63" t="inlineStr">
        <is>
          <t>32285002167152</t>
        </is>
      </c>
      <c r="BD63" t="inlineStr">
        <is>
          <t>893867361</t>
        </is>
      </c>
    </row>
    <row r="64">
      <c r="A64" t="inlineStr">
        <is>
          <t>No</t>
        </is>
      </c>
      <c r="B64" t="inlineStr">
        <is>
          <t>QD11 .H84 1992</t>
        </is>
      </c>
      <c r="C64" t="inlineStr">
        <is>
          <t>0                      QD 0011000H  84          1992</t>
        </is>
      </c>
      <c r="D64" t="inlineStr">
        <is>
          <t>The history of chemistry / John Hudson.</t>
        </is>
      </c>
      <c r="F64" t="inlineStr">
        <is>
          <t>No</t>
        </is>
      </c>
      <c r="G64" t="inlineStr">
        <is>
          <t>1</t>
        </is>
      </c>
      <c r="H64" t="inlineStr">
        <is>
          <t>No</t>
        </is>
      </c>
      <c r="I64" t="inlineStr">
        <is>
          <t>No</t>
        </is>
      </c>
      <c r="J64" t="inlineStr">
        <is>
          <t>0</t>
        </is>
      </c>
      <c r="K64" t="inlineStr">
        <is>
          <t>Hudson, John, 1943-</t>
        </is>
      </c>
      <c r="L64" t="inlineStr">
        <is>
          <t>New York : Chapman &amp; Hall, 1992.</t>
        </is>
      </c>
      <c r="M64" t="inlineStr">
        <is>
          <t>1992</t>
        </is>
      </c>
      <c r="O64" t="inlineStr">
        <is>
          <t>eng</t>
        </is>
      </c>
      <c r="P64" t="inlineStr">
        <is>
          <t>nyu</t>
        </is>
      </c>
      <c r="R64" t="inlineStr">
        <is>
          <t xml:space="preserve">QD </t>
        </is>
      </c>
      <c r="S64" t="n">
        <v>8</v>
      </c>
      <c r="T64" t="n">
        <v>8</v>
      </c>
      <c r="U64" t="inlineStr">
        <is>
          <t>2005-04-21</t>
        </is>
      </c>
      <c r="V64" t="inlineStr">
        <is>
          <t>2005-04-21</t>
        </is>
      </c>
      <c r="W64" t="inlineStr">
        <is>
          <t>1993-10-16</t>
        </is>
      </c>
      <c r="X64" t="inlineStr">
        <is>
          <t>1993-10-16</t>
        </is>
      </c>
      <c r="Y64" t="n">
        <v>639</v>
      </c>
      <c r="Z64" t="n">
        <v>586</v>
      </c>
      <c r="AA64" t="n">
        <v>643</v>
      </c>
      <c r="AB64" t="n">
        <v>6</v>
      </c>
      <c r="AC64" t="n">
        <v>6</v>
      </c>
      <c r="AD64" t="n">
        <v>28</v>
      </c>
      <c r="AE64" t="n">
        <v>29</v>
      </c>
      <c r="AF64" t="n">
        <v>13</v>
      </c>
      <c r="AG64" t="n">
        <v>13</v>
      </c>
      <c r="AH64" t="n">
        <v>4</v>
      </c>
      <c r="AI64" t="n">
        <v>5</v>
      </c>
      <c r="AJ64" t="n">
        <v>13</v>
      </c>
      <c r="AK64" t="n">
        <v>14</v>
      </c>
      <c r="AL64" t="n">
        <v>5</v>
      </c>
      <c r="AM64" t="n">
        <v>5</v>
      </c>
      <c r="AN64" t="n">
        <v>0</v>
      </c>
      <c r="AO64" t="n">
        <v>0</v>
      </c>
      <c r="AP64" t="inlineStr">
        <is>
          <t>No</t>
        </is>
      </c>
      <c r="AQ64" t="inlineStr">
        <is>
          <t>Yes</t>
        </is>
      </c>
      <c r="AR64">
        <f>HYPERLINK("http://catalog.hathitrust.org/Record/002589902","HathiTrust Record")</f>
        <v/>
      </c>
      <c r="AS64">
        <f>HYPERLINK("https://creighton-primo.hosted.exlibrisgroup.com/primo-explore/search?tab=default_tab&amp;search_scope=EVERYTHING&amp;vid=01CRU&amp;lang=en_US&amp;offset=0&amp;query=any,contains,991002004639702656","Catalog Record")</f>
        <v/>
      </c>
      <c r="AT64">
        <f>HYPERLINK("http://www.worldcat.org/oclc/25507829","WorldCat Record")</f>
        <v/>
      </c>
      <c r="AU64" t="inlineStr">
        <is>
          <t>3856834192:eng</t>
        </is>
      </c>
      <c r="AV64" t="inlineStr">
        <is>
          <t>25507829</t>
        </is>
      </c>
      <c r="AW64" t="inlineStr">
        <is>
          <t>991002004639702656</t>
        </is>
      </c>
      <c r="AX64" t="inlineStr">
        <is>
          <t>991002004639702656</t>
        </is>
      </c>
      <c r="AY64" t="inlineStr">
        <is>
          <t>2271587520002656</t>
        </is>
      </c>
      <c r="AZ64" t="inlineStr">
        <is>
          <t>BOOK</t>
        </is>
      </c>
      <c r="BB64" t="inlineStr">
        <is>
          <t>9780412036415</t>
        </is>
      </c>
      <c r="BC64" t="inlineStr">
        <is>
          <t>32285001786101</t>
        </is>
      </c>
      <c r="BD64" t="inlineStr">
        <is>
          <t>893866686</t>
        </is>
      </c>
    </row>
    <row r="65">
      <c r="A65" t="inlineStr">
        <is>
          <t>No</t>
        </is>
      </c>
      <c r="B65" t="inlineStr">
        <is>
          <t>QD11 .M413 1991</t>
        </is>
      </c>
      <c r="C65" t="inlineStr">
        <is>
          <t>0                      QD 0011000M  413         1991</t>
        </is>
      </c>
      <c r="D65" t="inlineStr">
        <is>
          <t>Chemistry / by Hélène Metzger ; translated and annotated by Colette V. Michael ; foreword by Aaron J. Ihde.</t>
        </is>
      </c>
      <c r="F65" t="inlineStr">
        <is>
          <t>No</t>
        </is>
      </c>
      <c r="G65" t="inlineStr">
        <is>
          <t>1</t>
        </is>
      </c>
      <c r="H65" t="inlineStr">
        <is>
          <t>No</t>
        </is>
      </c>
      <c r="I65" t="inlineStr">
        <is>
          <t>No</t>
        </is>
      </c>
      <c r="J65" t="inlineStr">
        <is>
          <t>0</t>
        </is>
      </c>
      <c r="K65" t="inlineStr">
        <is>
          <t>Metzger, Hélène.</t>
        </is>
      </c>
      <c r="L65" t="inlineStr">
        <is>
          <t>West Cornwall, CT : Locust Hill Press, 1991.</t>
        </is>
      </c>
      <c r="M65" t="inlineStr">
        <is>
          <t>1991</t>
        </is>
      </c>
      <c r="O65" t="inlineStr">
        <is>
          <t>eng</t>
        </is>
      </c>
      <c r="P65" t="inlineStr">
        <is>
          <t>ctu</t>
        </is>
      </c>
      <c r="Q65" t="inlineStr">
        <is>
          <t>Women in the sciences ; vol. 1</t>
        </is>
      </c>
      <c r="R65" t="inlineStr">
        <is>
          <t xml:space="preserve">QD </t>
        </is>
      </c>
      <c r="S65" t="n">
        <v>6</v>
      </c>
      <c r="T65" t="n">
        <v>6</v>
      </c>
      <c r="U65" t="inlineStr">
        <is>
          <t>1995-11-26</t>
        </is>
      </c>
      <c r="V65" t="inlineStr">
        <is>
          <t>1995-11-26</t>
        </is>
      </c>
      <c r="W65" t="inlineStr">
        <is>
          <t>1992-01-22</t>
        </is>
      </c>
      <c r="X65" t="inlineStr">
        <is>
          <t>1992-01-22</t>
        </is>
      </c>
      <c r="Y65" t="n">
        <v>187</v>
      </c>
      <c r="Z65" t="n">
        <v>161</v>
      </c>
      <c r="AA65" t="n">
        <v>168</v>
      </c>
      <c r="AB65" t="n">
        <v>2</v>
      </c>
      <c r="AC65" t="n">
        <v>2</v>
      </c>
      <c r="AD65" t="n">
        <v>10</v>
      </c>
      <c r="AE65" t="n">
        <v>10</v>
      </c>
      <c r="AF65" t="n">
        <v>3</v>
      </c>
      <c r="AG65" t="n">
        <v>3</v>
      </c>
      <c r="AH65" t="n">
        <v>3</v>
      </c>
      <c r="AI65" t="n">
        <v>3</v>
      </c>
      <c r="AJ65" t="n">
        <v>5</v>
      </c>
      <c r="AK65" t="n">
        <v>5</v>
      </c>
      <c r="AL65" t="n">
        <v>1</v>
      </c>
      <c r="AM65" t="n">
        <v>1</v>
      </c>
      <c r="AN65" t="n">
        <v>0</v>
      </c>
      <c r="AO65" t="n">
        <v>0</v>
      </c>
      <c r="AP65" t="inlineStr">
        <is>
          <t>No</t>
        </is>
      </c>
      <c r="AQ65" t="inlineStr">
        <is>
          <t>Yes</t>
        </is>
      </c>
      <c r="AR65">
        <f>HYPERLINK("http://catalog.hathitrust.org/Record/009463775","HathiTrust Record")</f>
        <v/>
      </c>
      <c r="AS65">
        <f>HYPERLINK("https://creighton-primo.hosted.exlibrisgroup.com/primo-explore/search?tab=default_tab&amp;search_scope=EVERYTHING&amp;vid=01CRU&amp;lang=en_US&amp;offset=0&amp;query=any,contains,991001876329702656","Catalog Record")</f>
        <v/>
      </c>
      <c r="AT65">
        <f>HYPERLINK("http://www.worldcat.org/oclc/23688959","WorldCat Record")</f>
        <v/>
      </c>
      <c r="AU65" t="inlineStr">
        <is>
          <t>25655885:eng</t>
        </is>
      </c>
      <c r="AV65" t="inlineStr">
        <is>
          <t>23688959</t>
        </is>
      </c>
      <c r="AW65" t="inlineStr">
        <is>
          <t>991001876329702656</t>
        </is>
      </c>
      <c r="AX65" t="inlineStr">
        <is>
          <t>991001876329702656</t>
        </is>
      </c>
      <c r="AY65" t="inlineStr">
        <is>
          <t>2267572720002656</t>
        </is>
      </c>
      <c r="AZ65" t="inlineStr">
        <is>
          <t>BOOK</t>
        </is>
      </c>
      <c r="BB65" t="inlineStr">
        <is>
          <t>9780933951389</t>
        </is>
      </c>
      <c r="BC65" t="inlineStr">
        <is>
          <t>32285000865732</t>
        </is>
      </c>
      <c r="BD65" t="inlineStr">
        <is>
          <t>893316129</t>
        </is>
      </c>
    </row>
    <row r="66">
      <c r="A66" t="inlineStr">
        <is>
          <t>No</t>
        </is>
      </c>
      <c r="B66" t="inlineStr">
        <is>
          <t>QD11 .P28</t>
        </is>
      </c>
      <c r="C66" t="inlineStr">
        <is>
          <t>0                      QD 0011000P  28</t>
        </is>
      </c>
      <c r="D66" t="inlineStr">
        <is>
          <t>A history of chemistry, by J.R. Partington.</t>
        </is>
      </c>
      <c r="E66" t="inlineStr">
        <is>
          <t>V. 4</t>
        </is>
      </c>
      <c r="F66" t="inlineStr">
        <is>
          <t>Yes</t>
        </is>
      </c>
      <c r="G66" t="inlineStr">
        <is>
          <t>1</t>
        </is>
      </c>
      <c r="H66" t="inlineStr">
        <is>
          <t>No</t>
        </is>
      </c>
      <c r="I66" t="inlineStr">
        <is>
          <t>No</t>
        </is>
      </c>
      <c r="J66" t="inlineStr">
        <is>
          <t>0</t>
        </is>
      </c>
      <c r="K66" t="inlineStr">
        <is>
          <t>Partington, J. R. (James Riddick), 1886-1965.</t>
        </is>
      </c>
      <c r="L66" t="inlineStr">
        <is>
          <t>London, Macmillan; New York, St. Martin's Press, 1961-&lt;70 [v. 1, pt. 1, 1970 &gt;</t>
        </is>
      </c>
      <c r="M66" t="inlineStr">
        <is>
          <t>1961</t>
        </is>
      </c>
      <c r="O66" t="inlineStr">
        <is>
          <t>eng</t>
        </is>
      </c>
      <c r="P66" t="inlineStr">
        <is>
          <t>enk</t>
        </is>
      </c>
      <c r="R66" t="inlineStr">
        <is>
          <t xml:space="preserve">QD </t>
        </is>
      </c>
      <c r="S66" t="n">
        <v>2</v>
      </c>
      <c r="T66" t="n">
        <v>7</v>
      </c>
      <c r="U66" t="inlineStr">
        <is>
          <t>2002-09-20</t>
        </is>
      </c>
      <c r="V66" t="inlineStr">
        <is>
          <t>2002-09-20</t>
        </is>
      </c>
      <c r="W66" t="inlineStr">
        <is>
          <t>1997-05-28</t>
        </is>
      </c>
      <c r="X66" t="inlineStr">
        <is>
          <t>1997-05-28</t>
        </is>
      </c>
      <c r="Y66" t="n">
        <v>794</v>
      </c>
      <c r="Z66" t="n">
        <v>658</v>
      </c>
      <c r="AA66" t="n">
        <v>680</v>
      </c>
      <c r="AB66" t="n">
        <v>3</v>
      </c>
      <c r="AC66" t="n">
        <v>3</v>
      </c>
      <c r="AD66" t="n">
        <v>27</v>
      </c>
      <c r="AE66" t="n">
        <v>27</v>
      </c>
      <c r="AF66" t="n">
        <v>12</v>
      </c>
      <c r="AG66" t="n">
        <v>12</v>
      </c>
      <c r="AH66" t="n">
        <v>5</v>
      </c>
      <c r="AI66" t="n">
        <v>5</v>
      </c>
      <c r="AJ66" t="n">
        <v>15</v>
      </c>
      <c r="AK66" t="n">
        <v>15</v>
      </c>
      <c r="AL66" t="n">
        <v>2</v>
      </c>
      <c r="AM66" t="n">
        <v>2</v>
      </c>
      <c r="AN66" t="n">
        <v>0</v>
      </c>
      <c r="AO66" t="n">
        <v>0</v>
      </c>
      <c r="AP66" t="inlineStr">
        <is>
          <t>No</t>
        </is>
      </c>
      <c r="AQ66" t="inlineStr">
        <is>
          <t>Yes</t>
        </is>
      </c>
      <c r="AR66">
        <f>HYPERLINK("http://catalog.hathitrust.org/Record/001495242","HathiTrust Record")</f>
        <v/>
      </c>
      <c r="AS66">
        <f>HYPERLINK("https://creighton-primo.hosted.exlibrisgroup.com/primo-explore/search?tab=default_tab&amp;search_scope=EVERYTHING&amp;vid=01CRU&amp;lang=en_US&amp;offset=0&amp;query=any,contains,991002306039702656","Catalog Record")</f>
        <v/>
      </c>
      <c r="AT66">
        <f>HYPERLINK("http://www.worldcat.org/oclc/318396","WorldCat Record")</f>
        <v/>
      </c>
      <c r="AU66" t="inlineStr">
        <is>
          <t>10201101731:eng</t>
        </is>
      </c>
      <c r="AV66" t="inlineStr">
        <is>
          <t>318396</t>
        </is>
      </c>
      <c r="AW66" t="inlineStr">
        <is>
          <t>991002306039702656</t>
        </is>
      </c>
      <c r="AX66" t="inlineStr">
        <is>
          <t>991002306039702656</t>
        </is>
      </c>
      <c r="AY66" t="inlineStr">
        <is>
          <t>2270581120002656</t>
        </is>
      </c>
      <c r="AZ66" t="inlineStr">
        <is>
          <t>BOOK</t>
        </is>
      </c>
      <c r="BC66" t="inlineStr">
        <is>
          <t>32285002776606</t>
        </is>
      </c>
      <c r="BD66" t="inlineStr">
        <is>
          <t>893251057</t>
        </is>
      </c>
    </row>
    <row r="67">
      <c r="A67" t="inlineStr">
        <is>
          <t>No</t>
        </is>
      </c>
      <c r="B67" t="inlineStr">
        <is>
          <t>QD11 .P28</t>
        </is>
      </c>
      <c r="C67" t="inlineStr">
        <is>
          <t>0                      QD 0011000P  28</t>
        </is>
      </c>
      <c r="D67" t="inlineStr">
        <is>
          <t>A history of chemistry, by J.R. Partington.</t>
        </is>
      </c>
      <c r="E67" t="inlineStr">
        <is>
          <t>V. 2</t>
        </is>
      </c>
      <c r="F67" t="inlineStr">
        <is>
          <t>Yes</t>
        </is>
      </c>
      <c r="G67" t="inlineStr">
        <is>
          <t>1</t>
        </is>
      </c>
      <c r="H67" t="inlineStr">
        <is>
          <t>No</t>
        </is>
      </c>
      <c r="I67" t="inlineStr">
        <is>
          <t>No</t>
        </is>
      </c>
      <c r="J67" t="inlineStr">
        <is>
          <t>0</t>
        </is>
      </c>
      <c r="K67" t="inlineStr">
        <is>
          <t>Partington, J. R. (James Riddick), 1886-1965.</t>
        </is>
      </c>
      <c r="L67" t="inlineStr">
        <is>
          <t>London, Macmillan; New York, St. Martin's Press, 1961-&lt;70 [v. 1, pt. 1, 1970 &gt;</t>
        </is>
      </c>
      <c r="M67" t="inlineStr">
        <is>
          <t>1961</t>
        </is>
      </c>
      <c r="O67" t="inlineStr">
        <is>
          <t>eng</t>
        </is>
      </c>
      <c r="P67" t="inlineStr">
        <is>
          <t>enk</t>
        </is>
      </c>
      <c r="R67" t="inlineStr">
        <is>
          <t xml:space="preserve">QD </t>
        </is>
      </c>
      <c r="S67" t="n">
        <v>1</v>
      </c>
      <c r="T67" t="n">
        <v>7</v>
      </c>
      <c r="V67" t="inlineStr">
        <is>
          <t>2002-09-20</t>
        </is>
      </c>
      <c r="W67" t="inlineStr">
        <is>
          <t>1997-05-28</t>
        </is>
      </c>
      <c r="X67" t="inlineStr">
        <is>
          <t>1997-05-28</t>
        </is>
      </c>
      <c r="Y67" t="n">
        <v>794</v>
      </c>
      <c r="Z67" t="n">
        <v>658</v>
      </c>
      <c r="AA67" t="n">
        <v>680</v>
      </c>
      <c r="AB67" t="n">
        <v>3</v>
      </c>
      <c r="AC67" t="n">
        <v>3</v>
      </c>
      <c r="AD67" t="n">
        <v>27</v>
      </c>
      <c r="AE67" t="n">
        <v>27</v>
      </c>
      <c r="AF67" t="n">
        <v>12</v>
      </c>
      <c r="AG67" t="n">
        <v>12</v>
      </c>
      <c r="AH67" t="n">
        <v>5</v>
      </c>
      <c r="AI67" t="n">
        <v>5</v>
      </c>
      <c r="AJ67" t="n">
        <v>15</v>
      </c>
      <c r="AK67" t="n">
        <v>15</v>
      </c>
      <c r="AL67" t="n">
        <v>2</v>
      </c>
      <c r="AM67" t="n">
        <v>2</v>
      </c>
      <c r="AN67" t="n">
        <v>0</v>
      </c>
      <c r="AO67" t="n">
        <v>0</v>
      </c>
      <c r="AP67" t="inlineStr">
        <is>
          <t>No</t>
        </is>
      </c>
      <c r="AQ67" t="inlineStr">
        <is>
          <t>Yes</t>
        </is>
      </c>
      <c r="AR67">
        <f>HYPERLINK("http://catalog.hathitrust.org/Record/001495242","HathiTrust Record")</f>
        <v/>
      </c>
      <c r="AS67">
        <f>HYPERLINK("https://creighton-primo.hosted.exlibrisgroup.com/primo-explore/search?tab=default_tab&amp;search_scope=EVERYTHING&amp;vid=01CRU&amp;lang=en_US&amp;offset=0&amp;query=any,contains,991002306039702656","Catalog Record")</f>
        <v/>
      </c>
      <c r="AT67">
        <f>HYPERLINK("http://www.worldcat.org/oclc/318396","WorldCat Record")</f>
        <v/>
      </c>
      <c r="AU67" t="inlineStr">
        <is>
          <t>10201101731:eng</t>
        </is>
      </c>
      <c r="AV67" t="inlineStr">
        <is>
          <t>318396</t>
        </is>
      </c>
      <c r="AW67" t="inlineStr">
        <is>
          <t>991002306039702656</t>
        </is>
      </c>
      <c r="AX67" t="inlineStr">
        <is>
          <t>991002306039702656</t>
        </is>
      </c>
      <c r="AY67" t="inlineStr">
        <is>
          <t>2270581120002656</t>
        </is>
      </c>
      <c r="AZ67" t="inlineStr">
        <is>
          <t>BOOK</t>
        </is>
      </c>
      <c r="BC67" t="inlineStr">
        <is>
          <t>32285002776580</t>
        </is>
      </c>
      <c r="BD67" t="inlineStr">
        <is>
          <t>893251060</t>
        </is>
      </c>
    </row>
    <row r="68">
      <c r="A68" t="inlineStr">
        <is>
          <t>No</t>
        </is>
      </c>
      <c r="B68" t="inlineStr">
        <is>
          <t>QD11 .P28</t>
        </is>
      </c>
      <c r="C68" t="inlineStr">
        <is>
          <t>0                      QD 0011000P  28</t>
        </is>
      </c>
      <c r="D68" t="inlineStr">
        <is>
          <t>A history of chemistry, by J.R. Partington.</t>
        </is>
      </c>
      <c r="E68" t="inlineStr">
        <is>
          <t>V. 3</t>
        </is>
      </c>
      <c r="F68" t="inlineStr">
        <is>
          <t>Yes</t>
        </is>
      </c>
      <c r="G68" t="inlineStr">
        <is>
          <t>1</t>
        </is>
      </c>
      <c r="H68" t="inlineStr">
        <is>
          <t>No</t>
        </is>
      </c>
      <c r="I68" t="inlineStr">
        <is>
          <t>No</t>
        </is>
      </c>
      <c r="J68" t="inlineStr">
        <is>
          <t>0</t>
        </is>
      </c>
      <c r="K68" t="inlineStr">
        <is>
          <t>Partington, J. R. (James Riddick), 1886-1965.</t>
        </is>
      </c>
      <c r="L68" t="inlineStr">
        <is>
          <t>London, Macmillan; New York, St. Martin's Press, 1961-&lt;70 [v. 1, pt. 1, 1970 &gt;</t>
        </is>
      </c>
      <c r="M68" t="inlineStr">
        <is>
          <t>1961</t>
        </is>
      </c>
      <c r="O68" t="inlineStr">
        <is>
          <t>eng</t>
        </is>
      </c>
      <c r="P68" t="inlineStr">
        <is>
          <t>enk</t>
        </is>
      </c>
      <c r="R68" t="inlineStr">
        <is>
          <t xml:space="preserve">QD </t>
        </is>
      </c>
      <c r="S68" t="n">
        <v>2</v>
      </c>
      <c r="T68" t="n">
        <v>7</v>
      </c>
      <c r="U68" t="inlineStr">
        <is>
          <t>2002-09-20</t>
        </is>
      </c>
      <c r="V68" t="inlineStr">
        <is>
          <t>2002-09-20</t>
        </is>
      </c>
      <c r="W68" t="inlineStr">
        <is>
          <t>1997-05-28</t>
        </is>
      </c>
      <c r="X68" t="inlineStr">
        <is>
          <t>1997-05-28</t>
        </is>
      </c>
      <c r="Y68" t="n">
        <v>794</v>
      </c>
      <c r="Z68" t="n">
        <v>658</v>
      </c>
      <c r="AA68" t="n">
        <v>680</v>
      </c>
      <c r="AB68" t="n">
        <v>3</v>
      </c>
      <c r="AC68" t="n">
        <v>3</v>
      </c>
      <c r="AD68" t="n">
        <v>27</v>
      </c>
      <c r="AE68" t="n">
        <v>27</v>
      </c>
      <c r="AF68" t="n">
        <v>12</v>
      </c>
      <c r="AG68" t="n">
        <v>12</v>
      </c>
      <c r="AH68" t="n">
        <v>5</v>
      </c>
      <c r="AI68" t="n">
        <v>5</v>
      </c>
      <c r="AJ68" t="n">
        <v>15</v>
      </c>
      <c r="AK68" t="n">
        <v>15</v>
      </c>
      <c r="AL68" t="n">
        <v>2</v>
      </c>
      <c r="AM68" t="n">
        <v>2</v>
      </c>
      <c r="AN68" t="n">
        <v>0</v>
      </c>
      <c r="AO68" t="n">
        <v>0</v>
      </c>
      <c r="AP68" t="inlineStr">
        <is>
          <t>No</t>
        </is>
      </c>
      <c r="AQ68" t="inlineStr">
        <is>
          <t>Yes</t>
        </is>
      </c>
      <c r="AR68">
        <f>HYPERLINK("http://catalog.hathitrust.org/Record/001495242","HathiTrust Record")</f>
        <v/>
      </c>
      <c r="AS68">
        <f>HYPERLINK("https://creighton-primo.hosted.exlibrisgroup.com/primo-explore/search?tab=default_tab&amp;search_scope=EVERYTHING&amp;vid=01CRU&amp;lang=en_US&amp;offset=0&amp;query=any,contains,991002306039702656","Catalog Record")</f>
        <v/>
      </c>
      <c r="AT68">
        <f>HYPERLINK("http://www.worldcat.org/oclc/318396","WorldCat Record")</f>
        <v/>
      </c>
      <c r="AU68" t="inlineStr">
        <is>
          <t>10201101731:eng</t>
        </is>
      </c>
      <c r="AV68" t="inlineStr">
        <is>
          <t>318396</t>
        </is>
      </c>
      <c r="AW68" t="inlineStr">
        <is>
          <t>991002306039702656</t>
        </is>
      </c>
      <c r="AX68" t="inlineStr">
        <is>
          <t>991002306039702656</t>
        </is>
      </c>
      <c r="AY68" t="inlineStr">
        <is>
          <t>2270581120002656</t>
        </is>
      </c>
      <c r="AZ68" t="inlineStr">
        <is>
          <t>BOOK</t>
        </is>
      </c>
      <c r="BC68" t="inlineStr">
        <is>
          <t>32285002776598</t>
        </is>
      </c>
      <c r="BD68" t="inlineStr">
        <is>
          <t>893251059</t>
        </is>
      </c>
    </row>
    <row r="69">
      <c r="A69" t="inlineStr">
        <is>
          <t>No</t>
        </is>
      </c>
      <c r="B69" t="inlineStr">
        <is>
          <t>QD11 .P28</t>
        </is>
      </c>
      <c r="C69" t="inlineStr">
        <is>
          <t>0                      QD 0011000P  28</t>
        </is>
      </c>
      <c r="D69" t="inlineStr">
        <is>
          <t>A history of chemistry, by J.R. Partington.</t>
        </is>
      </c>
      <c r="E69" t="inlineStr">
        <is>
          <t>V. 1 PT. 1</t>
        </is>
      </c>
      <c r="F69" t="inlineStr">
        <is>
          <t>Yes</t>
        </is>
      </c>
      <c r="G69" t="inlineStr">
        <is>
          <t>1</t>
        </is>
      </c>
      <c r="H69" t="inlineStr">
        <is>
          <t>No</t>
        </is>
      </c>
      <c r="I69" t="inlineStr">
        <is>
          <t>No</t>
        </is>
      </c>
      <c r="J69" t="inlineStr">
        <is>
          <t>0</t>
        </is>
      </c>
      <c r="K69" t="inlineStr">
        <is>
          <t>Partington, J. R. (James Riddick), 1886-1965.</t>
        </is>
      </c>
      <c r="L69" t="inlineStr">
        <is>
          <t>London, Macmillan; New York, St. Martin's Press, 1961-&lt;70 [v. 1, pt. 1, 1970 &gt;</t>
        </is>
      </c>
      <c r="M69" t="inlineStr">
        <is>
          <t>1961</t>
        </is>
      </c>
      <c r="O69" t="inlineStr">
        <is>
          <t>eng</t>
        </is>
      </c>
      <c r="P69" t="inlineStr">
        <is>
          <t>enk</t>
        </is>
      </c>
      <c r="R69" t="inlineStr">
        <is>
          <t xml:space="preserve">QD </t>
        </is>
      </c>
      <c r="S69" t="n">
        <v>2</v>
      </c>
      <c r="T69" t="n">
        <v>7</v>
      </c>
      <c r="V69" t="inlineStr">
        <is>
          <t>2002-09-20</t>
        </is>
      </c>
      <c r="W69" t="inlineStr">
        <is>
          <t>1997-05-28</t>
        </is>
      </c>
      <c r="X69" t="inlineStr">
        <is>
          <t>1997-05-28</t>
        </is>
      </c>
      <c r="Y69" t="n">
        <v>794</v>
      </c>
      <c r="Z69" t="n">
        <v>658</v>
      </c>
      <c r="AA69" t="n">
        <v>680</v>
      </c>
      <c r="AB69" t="n">
        <v>3</v>
      </c>
      <c r="AC69" t="n">
        <v>3</v>
      </c>
      <c r="AD69" t="n">
        <v>27</v>
      </c>
      <c r="AE69" t="n">
        <v>27</v>
      </c>
      <c r="AF69" t="n">
        <v>12</v>
      </c>
      <c r="AG69" t="n">
        <v>12</v>
      </c>
      <c r="AH69" t="n">
        <v>5</v>
      </c>
      <c r="AI69" t="n">
        <v>5</v>
      </c>
      <c r="AJ69" t="n">
        <v>15</v>
      </c>
      <c r="AK69" t="n">
        <v>15</v>
      </c>
      <c r="AL69" t="n">
        <v>2</v>
      </c>
      <c r="AM69" t="n">
        <v>2</v>
      </c>
      <c r="AN69" t="n">
        <v>0</v>
      </c>
      <c r="AO69" t="n">
        <v>0</v>
      </c>
      <c r="AP69" t="inlineStr">
        <is>
          <t>No</t>
        </is>
      </c>
      <c r="AQ69" t="inlineStr">
        <is>
          <t>Yes</t>
        </is>
      </c>
      <c r="AR69">
        <f>HYPERLINK("http://catalog.hathitrust.org/Record/001495242","HathiTrust Record")</f>
        <v/>
      </c>
      <c r="AS69">
        <f>HYPERLINK("https://creighton-primo.hosted.exlibrisgroup.com/primo-explore/search?tab=default_tab&amp;search_scope=EVERYTHING&amp;vid=01CRU&amp;lang=en_US&amp;offset=0&amp;query=any,contains,991002306039702656","Catalog Record")</f>
        <v/>
      </c>
      <c r="AT69">
        <f>HYPERLINK("http://www.worldcat.org/oclc/318396","WorldCat Record")</f>
        <v/>
      </c>
      <c r="AU69" t="inlineStr">
        <is>
          <t>10201101731:eng</t>
        </is>
      </c>
      <c r="AV69" t="inlineStr">
        <is>
          <t>318396</t>
        </is>
      </c>
      <c r="AW69" t="inlineStr">
        <is>
          <t>991002306039702656</t>
        </is>
      </c>
      <c r="AX69" t="inlineStr">
        <is>
          <t>991002306039702656</t>
        </is>
      </c>
      <c r="AY69" t="inlineStr">
        <is>
          <t>2270581120002656</t>
        </is>
      </c>
      <c r="AZ69" t="inlineStr">
        <is>
          <t>BOOK</t>
        </is>
      </c>
      <c r="BC69" t="inlineStr">
        <is>
          <t>32285002776572</t>
        </is>
      </c>
      <c r="BD69" t="inlineStr">
        <is>
          <t>893251058</t>
        </is>
      </c>
    </row>
    <row r="70">
      <c r="A70" t="inlineStr">
        <is>
          <t>No</t>
        </is>
      </c>
      <c r="B70" t="inlineStr">
        <is>
          <t>QD11 .P3</t>
        </is>
      </c>
      <c r="C70" t="inlineStr">
        <is>
          <t>0                      QD 0011000P  3</t>
        </is>
      </c>
      <c r="D70" t="inlineStr">
        <is>
          <t>A short history of chemistry / [by] J. R. Partington.</t>
        </is>
      </c>
      <c r="F70" t="inlineStr">
        <is>
          <t>No</t>
        </is>
      </c>
      <c r="G70" t="inlineStr">
        <is>
          <t>1</t>
        </is>
      </c>
      <c r="H70" t="inlineStr">
        <is>
          <t>No</t>
        </is>
      </c>
      <c r="I70" t="inlineStr">
        <is>
          <t>No</t>
        </is>
      </c>
      <c r="J70" t="inlineStr">
        <is>
          <t>0</t>
        </is>
      </c>
      <c r="K70" t="inlineStr">
        <is>
          <t>Partington, J. R. (James Riddick), 1886-1965.</t>
        </is>
      </c>
      <c r="L70" t="inlineStr">
        <is>
          <t>New York : Harper &amp; Row, [1960]</t>
        </is>
      </c>
      <c r="M70" t="inlineStr">
        <is>
          <t>1960</t>
        </is>
      </c>
      <c r="N70" t="inlineStr">
        <is>
          <t>3d ed., rev. and enl.</t>
        </is>
      </c>
      <c r="O70" t="inlineStr">
        <is>
          <t>eng</t>
        </is>
      </c>
      <c r="P70" t="inlineStr">
        <is>
          <t>nyu</t>
        </is>
      </c>
      <c r="Q70" t="inlineStr">
        <is>
          <t>Harper Torchbooks. The science library, TB 522P</t>
        </is>
      </c>
      <c r="R70" t="inlineStr">
        <is>
          <t xml:space="preserve">QD </t>
        </is>
      </c>
      <c r="S70" t="n">
        <v>11</v>
      </c>
      <c r="T70" t="n">
        <v>11</v>
      </c>
      <c r="U70" t="inlineStr">
        <is>
          <t>2004-10-18</t>
        </is>
      </c>
      <c r="V70" t="inlineStr">
        <is>
          <t>2004-10-18</t>
        </is>
      </c>
      <c r="W70" t="inlineStr">
        <is>
          <t>1995-05-02</t>
        </is>
      </c>
      <c r="X70" t="inlineStr">
        <is>
          <t>1995-05-02</t>
        </is>
      </c>
      <c r="Y70" t="n">
        <v>202</v>
      </c>
      <c r="Z70" t="n">
        <v>192</v>
      </c>
      <c r="AA70" t="n">
        <v>943</v>
      </c>
      <c r="AB70" t="n">
        <v>2</v>
      </c>
      <c r="AC70" t="n">
        <v>9</v>
      </c>
      <c r="AD70" t="n">
        <v>5</v>
      </c>
      <c r="AE70" t="n">
        <v>36</v>
      </c>
      <c r="AF70" t="n">
        <v>3</v>
      </c>
      <c r="AG70" t="n">
        <v>15</v>
      </c>
      <c r="AH70" t="n">
        <v>2</v>
      </c>
      <c r="AI70" t="n">
        <v>6</v>
      </c>
      <c r="AJ70" t="n">
        <v>0</v>
      </c>
      <c r="AK70" t="n">
        <v>17</v>
      </c>
      <c r="AL70" t="n">
        <v>1</v>
      </c>
      <c r="AM70" t="n">
        <v>8</v>
      </c>
      <c r="AN70" t="n">
        <v>0</v>
      </c>
      <c r="AO70" t="n">
        <v>0</v>
      </c>
      <c r="AP70" t="inlineStr">
        <is>
          <t>No</t>
        </is>
      </c>
      <c r="AQ70" t="inlineStr">
        <is>
          <t>Yes</t>
        </is>
      </c>
      <c r="AR70">
        <f>HYPERLINK("http://catalog.hathitrust.org/Record/001992479","HathiTrust Record")</f>
        <v/>
      </c>
      <c r="AS70">
        <f>HYPERLINK("https://creighton-primo.hosted.exlibrisgroup.com/primo-explore/search?tab=default_tab&amp;search_scope=EVERYTHING&amp;vid=01CRU&amp;lang=en_US&amp;offset=0&amp;query=any,contains,991005406809702656","Catalog Record")</f>
        <v/>
      </c>
      <c r="AT70">
        <f>HYPERLINK("http://www.worldcat.org/oclc/13840767","WorldCat Record")</f>
        <v/>
      </c>
      <c r="AU70" t="inlineStr">
        <is>
          <t>3901011225:eng</t>
        </is>
      </c>
      <c r="AV70" t="inlineStr">
        <is>
          <t>13840767</t>
        </is>
      </c>
      <c r="AW70" t="inlineStr">
        <is>
          <t>991005406809702656</t>
        </is>
      </c>
      <c r="AX70" t="inlineStr">
        <is>
          <t>991005406809702656</t>
        </is>
      </c>
      <c r="AY70" t="inlineStr">
        <is>
          <t>2260666350002656</t>
        </is>
      </c>
      <c r="AZ70" t="inlineStr">
        <is>
          <t>BOOK</t>
        </is>
      </c>
      <c r="BC70" t="inlineStr">
        <is>
          <t>32285004859715</t>
        </is>
      </c>
      <c r="BD70" t="inlineStr">
        <is>
          <t>893514686</t>
        </is>
      </c>
    </row>
    <row r="71">
      <c r="A71" t="inlineStr">
        <is>
          <t>No</t>
        </is>
      </c>
      <c r="B71" t="inlineStr">
        <is>
          <t>QD111 .F47 1959</t>
        </is>
      </c>
      <c r="C71" t="inlineStr">
        <is>
          <t>0                      QD 0111000F  47          1959</t>
        </is>
      </c>
      <c r="D71" t="inlineStr">
        <is>
          <t>EDTA titrations; an introduction to theory and practice.</t>
        </is>
      </c>
      <c r="F71" t="inlineStr">
        <is>
          <t>No</t>
        </is>
      </c>
      <c r="G71" t="inlineStr">
        <is>
          <t>1</t>
        </is>
      </c>
      <c r="H71" t="inlineStr">
        <is>
          <t>No</t>
        </is>
      </c>
      <c r="I71" t="inlineStr">
        <is>
          <t>No</t>
        </is>
      </c>
      <c r="J71" t="inlineStr">
        <is>
          <t>0</t>
        </is>
      </c>
      <c r="K71" t="inlineStr">
        <is>
          <t>Flaschka, H. A. (Hermenegild Arved), 1915-</t>
        </is>
      </c>
      <c r="L71" t="inlineStr">
        <is>
          <t>New York, Pergamon Press [1959]</t>
        </is>
      </c>
      <c r="M71" t="inlineStr">
        <is>
          <t>1959</t>
        </is>
      </c>
      <c r="O71" t="inlineStr">
        <is>
          <t>eng</t>
        </is>
      </c>
      <c r="P71" t="inlineStr">
        <is>
          <t>nyu</t>
        </is>
      </c>
      <c r="R71" t="inlineStr">
        <is>
          <t xml:space="preserve">QD </t>
        </is>
      </c>
      <c r="S71" t="n">
        <v>1</v>
      </c>
      <c r="T71" t="n">
        <v>1</v>
      </c>
      <c r="U71" t="inlineStr">
        <is>
          <t>2007-11-11</t>
        </is>
      </c>
      <c r="V71" t="inlineStr">
        <is>
          <t>2007-11-11</t>
        </is>
      </c>
      <c r="W71" t="inlineStr">
        <is>
          <t>1997-05-29</t>
        </is>
      </c>
      <c r="X71" t="inlineStr">
        <is>
          <t>1997-05-29</t>
        </is>
      </c>
      <c r="Y71" t="n">
        <v>310</v>
      </c>
      <c r="Z71" t="n">
        <v>257</v>
      </c>
      <c r="AA71" t="n">
        <v>470</v>
      </c>
      <c r="AB71" t="n">
        <v>3</v>
      </c>
      <c r="AC71" t="n">
        <v>5</v>
      </c>
      <c r="AD71" t="n">
        <v>11</v>
      </c>
      <c r="AE71" t="n">
        <v>22</v>
      </c>
      <c r="AF71" t="n">
        <v>4</v>
      </c>
      <c r="AG71" t="n">
        <v>7</v>
      </c>
      <c r="AH71" t="n">
        <v>3</v>
      </c>
      <c r="AI71" t="n">
        <v>7</v>
      </c>
      <c r="AJ71" t="n">
        <v>5</v>
      </c>
      <c r="AK71" t="n">
        <v>9</v>
      </c>
      <c r="AL71" t="n">
        <v>2</v>
      </c>
      <c r="AM71" t="n">
        <v>4</v>
      </c>
      <c r="AN71" t="n">
        <v>0</v>
      </c>
      <c r="AO71" t="n">
        <v>0</v>
      </c>
      <c r="AP71" t="inlineStr">
        <is>
          <t>No</t>
        </is>
      </c>
      <c r="AQ71" t="inlineStr">
        <is>
          <t>Yes</t>
        </is>
      </c>
      <c r="AR71">
        <f>HYPERLINK("http://catalog.hathitrust.org/Record/007472703","HathiTrust Record")</f>
        <v/>
      </c>
      <c r="AS71">
        <f>HYPERLINK("https://creighton-primo.hosted.exlibrisgroup.com/primo-explore/search?tab=default_tab&amp;search_scope=EVERYTHING&amp;vid=01CRU&amp;lang=en_US&amp;offset=0&amp;query=any,contains,991002646819702656","Catalog Record")</f>
        <v/>
      </c>
      <c r="AT71">
        <f>HYPERLINK("http://www.worldcat.org/oclc/386009","WorldCat Record")</f>
        <v/>
      </c>
      <c r="AU71" t="inlineStr">
        <is>
          <t>1414855:eng</t>
        </is>
      </c>
      <c r="AV71" t="inlineStr">
        <is>
          <t>386009</t>
        </is>
      </c>
      <c r="AW71" t="inlineStr">
        <is>
          <t>991002646819702656</t>
        </is>
      </c>
      <c r="AX71" t="inlineStr">
        <is>
          <t>991002646819702656</t>
        </is>
      </c>
      <c r="AY71" t="inlineStr">
        <is>
          <t>2257604570002656</t>
        </is>
      </c>
      <c r="AZ71" t="inlineStr">
        <is>
          <t>BOOK</t>
        </is>
      </c>
      <c r="BC71" t="inlineStr">
        <is>
          <t>32285002778545</t>
        </is>
      </c>
      <c r="BD71" t="inlineStr">
        <is>
          <t>893415455</t>
        </is>
      </c>
    </row>
    <row r="72">
      <c r="A72" t="inlineStr">
        <is>
          <t>No</t>
        </is>
      </c>
      <c r="B72" t="inlineStr">
        <is>
          <t>QD111 .F73 1973</t>
        </is>
      </c>
      <c r="C72" t="inlineStr">
        <is>
          <t>0                      QD 0111000F  73          1973</t>
        </is>
      </c>
      <c r="D72" t="inlineStr">
        <is>
          <t>Acid-base titrations in nonaqueous solvents / [by] James S. Fritz.</t>
        </is>
      </c>
      <c r="F72" t="inlineStr">
        <is>
          <t>No</t>
        </is>
      </c>
      <c r="G72" t="inlineStr">
        <is>
          <t>1</t>
        </is>
      </c>
      <c r="H72" t="inlineStr">
        <is>
          <t>No</t>
        </is>
      </c>
      <c r="I72" t="inlineStr">
        <is>
          <t>No</t>
        </is>
      </c>
      <c r="J72" t="inlineStr">
        <is>
          <t>0</t>
        </is>
      </c>
      <c r="K72" t="inlineStr">
        <is>
          <t>Fritz, James S. (James Sherwood), 1924-</t>
        </is>
      </c>
      <c r="L72" t="inlineStr">
        <is>
          <t>Boston : Allyn and Bacon, [1973]</t>
        </is>
      </c>
      <c r="M72" t="inlineStr">
        <is>
          <t>1973</t>
        </is>
      </c>
      <c r="O72" t="inlineStr">
        <is>
          <t>eng</t>
        </is>
      </c>
      <c r="P72" t="inlineStr">
        <is>
          <t>mau</t>
        </is>
      </c>
      <c r="Q72" t="inlineStr">
        <is>
          <t>Allyn and Bacon chemistry series</t>
        </is>
      </c>
      <c r="R72" t="inlineStr">
        <is>
          <t xml:space="preserve">QD </t>
        </is>
      </c>
      <c r="S72" t="n">
        <v>1</v>
      </c>
      <c r="T72" t="n">
        <v>1</v>
      </c>
      <c r="U72" t="inlineStr">
        <is>
          <t>1995-04-11</t>
        </is>
      </c>
      <c r="V72" t="inlineStr">
        <is>
          <t>1995-04-11</t>
        </is>
      </c>
      <c r="W72" t="inlineStr">
        <is>
          <t>1994-01-14</t>
        </is>
      </c>
      <c r="X72" t="inlineStr">
        <is>
          <t>1994-01-14</t>
        </is>
      </c>
      <c r="Y72" t="n">
        <v>496</v>
      </c>
      <c r="Z72" t="n">
        <v>427</v>
      </c>
      <c r="AA72" t="n">
        <v>511</v>
      </c>
      <c r="AB72" t="n">
        <v>4</v>
      </c>
      <c r="AC72" t="n">
        <v>4</v>
      </c>
      <c r="AD72" t="n">
        <v>15</v>
      </c>
      <c r="AE72" t="n">
        <v>19</v>
      </c>
      <c r="AF72" t="n">
        <v>6</v>
      </c>
      <c r="AG72" t="n">
        <v>8</v>
      </c>
      <c r="AH72" t="n">
        <v>3</v>
      </c>
      <c r="AI72" t="n">
        <v>3</v>
      </c>
      <c r="AJ72" t="n">
        <v>6</v>
      </c>
      <c r="AK72" t="n">
        <v>8</v>
      </c>
      <c r="AL72" t="n">
        <v>3</v>
      </c>
      <c r="AM72" t="n">
        <v>3</v>
      </c>
      <c r="AN72" t="n">
        <v>0</v>
      </c>
      <c r="AO72" t="n">
        <v>0</v>
      </c>
      <c r="AP72" t="inlineStr">
        <is>
          <t>No</t>
        </is>
      </c>
      <c r="AQ72" t="inlineStr">
        <is>
          <t>Yes</t>
        </is>
      </c>
      <c r="AR72">
        <f>HYPERLINK("http://catalog.hathitrust.org/Record/004447046","HathiTrust Record")</f>
        <v/>
      </c>
      <c r="AS72">
        <f>HYPERLINK("https://creighton-primo.hosted.exlibrisgroup.com/primo-explore/search?tab=default_tab&amp;search_scope=EVERYTHING&amp;vid=01CRU&amp;lang=en_US&amp;offset=0&amp;query=any,contains,991003117489702656","Catalog Record")</f>
        <v/>
      </c>
      <c r="AT72">
        <f>HYPERLINK("http://www.worldcat.org/oclc/663760","WorldCat Record")</f>
        <v/>
      </c>
      <c r="AU72" t="inlineStr">
        <is>
          <t>1490323:eng</t>
        </is>
      </c>
      <c r="AV72" t="inlineStr">
        <is>
          <t>663760</t>
        </is>
      </c>
      <c r="AW72" t="inlineStr">
        <is>
          <t>991003117489702656</t>
        </is>
      </c>
      <c r="AX72" t="inlineStr">
        <is>
          <t>991003117489702656</t>
        </is>
      </c>
      <c r="AY72" t="inlineStr">
        <is>
          <t>2269890020002656</t>
        </is>
      </c>
      <c r="AZ72" t="inlineStr">
        <is>
          <t>BOOK</t>
        </is>
      </c>
      <c r="BC72" t="inlineStr">
        <is>
          <t>32285001829802</t>
        </is>
      </c>
      <c r="BD72" t="inlineStr">
        <is>
          <t>893686212</t>
        </is>
      </c>
    </row>
    <row r="73">
      <c r="A73" t="inlineStr">
        <is>
          <t>No</t>
        </is>
      </c>
      <c r="B73" t="inlineStr">
        <is>
          <t>QD115 .L23 1996</t>
        </is>
      </c>
      <c r="C73" t="inlineStr">
        <is>
          <t>0                      QD 0115000L  23          1996</t>
        </is>
      </c>
      <c r="D73" t="inlineStr">
        <is>
          <t>Laboratory techniques in electroanalytical chemistry / edited by Peter T. Kissinger, William R. Heineman.</t>
        </is>
      </c>
      <c r="F73" t="inlineStr">
        <is>
          <t>No</t>
        </is>
      </c>
      <c r="G73" t="inlineStr">
        <is>
          <t>1</t>
        </is>
      </c>
      <c r="H73" t="inlineStr">
        <is>
          <t>No</t>
        </is>
      </c>
      <c r="I73" t="inlineStr">
        <is>
          <t>No</t>
        </is>
      </c>
      <c r="J73" t="inlineStr">
        <is>
          <t>0</t>
        </is>
      </c>
      <c r="L73" t="inlineStr">
        <is>
          <t>New York : Marcel Dekker, Inc., c1996.</t>
        </is>
      </c>
      <c r="M73" t="inlineStr">
        <is>
          <t>1996</t>
        </is>
      </c>
      <c r="N73" t="inlineStr">
        <is>
          <t>2nd ed., rev. and expanded.</t>
        </is>
      </c>
      <c r="O73" t="inlineStr">
        <is>
          <t>eng</t>
        </is>
      </c>
      <c r="P73" t="inlineStr">
        <is>
          <t>nyu</t>
        </is>
      </c>
      <c r="R73" t="inlineStr">
        <is>
          <t xml:space="preserve">QD </t>
        </is>
      </c>
      <c r="S73" t="n">
        <v>8</v>
      </c>
      <c r="T73" t="n">
        <v>8</v>
      </c>
      <c r="U73" t="inlineStr">
        <is>
          <t>2002-08-26</t>
        </is>
      </c>
      <c r="V73" t="inlineStr">
        <is>
          <t>2002-08-26</t>
        </is>
      </c>
      <c r="W73" t="inlineStr">
        <is>
          <t>1996-05-16</t>
        </is>
      </c>
      <c r="X73" t="inlineStr">
        <is>
          <t>1996-05-16</t>
        </is>
      </c>
      <c r="Y73" t="n">
        <v>455</v>
      </c>
      <c r="Z73" t="n">
        <v>346</v>
      </c>
      <c r="AA73" t="n">
        <v>622</v>
      </c>
      <c r="AB73" t="n">
        <v>3</v>
      </c>
      <c r="AC73" t="n">
        <v>6</v>
      </c>
      <c r="AD73" t="n">
        <v>25</v>
      </c>
      <c r="AE73" t="n">
        <v>32</v>
      </c>
      <c r="AF73" t="n">
        <v>10</v>
      </c>
      <c r="AG73" t="n">
        <v>13</v>
      </c>
      <c r="AH73" t="n">
        <v>5</v>
      </c>
      <c r="AI73" t="n">
        <v>6</v>
      </c>
      <c r="AJ73" t="n">
        <v>15</v>
      </c>
      <c r="AK73" t="n">
        <v>17</v>
      </c>
      <c r="AL73" t="n">
        <v>2</v>
      </c>
      <c r="AM73" t="n">
        <v>4</v>
      </c>
      <c r="AN73" t="n">
        <v>0</v>
      </c>
      <c r="AO73" t="n">
        <v>0</v>
      </c>
      <c r="AP73" t="inlineStr">
        <is>
          <t>No</t>
        </is>
      </c>
      <c r="AQ73" t="inlineStr">
        <is>
          <t>No</t>
        </is>
      </c>
      <c r="AS73">
        <f>HYPERLINK("https://creighton-primo.hosted.exlibrisgroup.com/primo-explore/search?tab=default_tab&amp;search_scope=EVERYTHING&amp;vid=01CRU&amp;lang=en_US&amp;offset=0&amp;query=any,contains,991005422519702656","Catalog Record")</f>
        <v/>
      </c>
      <c r="AT73">
        <f>HYPERLINK("http://www.worldcat.org/oclc/33359917","WorldCat Record")</f>
        <v/>
      </c>
      <c r="AU73" t="inlineStr">
        <is>
          <t>364617152:eng</t>
        </is>
      </c>
      <c r="AV73" t="inlineStr">
        <is>
          <t>33359917</t>
        </is>
      </c>
      <c r="AW73" t="inlineStr">
        <is>
          <t>991005422519702656</t>
        </is>
      </c>
      <c r="AX73" t="inlineStr">
        <is>
          <t>991005422519702656</t>
        </is>
      </c>
      <c r="AY73" t="inlineStr">
        <is>
          <t>2263240590002656</t>
        </is>
      </c>
      <c r="AZ73" t="inlineStr">
        <is>
          <t>BOOK</t>
        </is>
      </c>
      <c r="BB73" t="inlineStr">
        <is>
          <t>9780824794453</t>
        </is>
      </c>
      <c r="BC73" t="inlineStr">
        <is>
          <t>32285002169562</t>
        </is>
      </c>
      <c r="BD73" t="inlineStr">
        <is>
          <t>893527601</t>
        </is>
      </c>
    </row>
    <row r="74">
      <c r="A74" t="inlineStr">
        <is>
          <t>No</t>
        </is>
      </c>
      <c r="B74" t="inlineStr">
        <is>
          <t>QD115 .R54 1987</t>
        </is>
      </c>
      <c r="C74" t="inlineStr">
        <is>
          <t>0                      QD 0115000R  54          1987</t>
        </is>
      </c>
      <c r="D74" t="inlineStr">
        <is>
          <t>Principles of electroanalytical methods / authors, Tom Riley and Colin Tomlinson ; editor, Arthur M. James.</t>
        </is>
      </c>
      <c r="F74" t="inlineStr">
        <is>
          <t>No</t>
        </is>
      </c>
      <c r="G74" t="inlineStr">
        <is>
          <t>1</t>
        </is>
      </c>
      <c r="H74" t="inlineStr">
        <is>
          <t>No</t>
        </is>
      </c>
      <c r="I74" t="inlineStr">
        <is>
          <t>No</t>
        </is>
      </c>
      <c r="J74" t="inlineStr">
        <is>
          <t>0</t>
        </is>
      </c>
      <c r="K74" t="inlineStr">
        <is>
          <t>Riley, Tom, 1935-</t>
        </is>
      </c>
      <c r="L74" t="inlineStr">
        <is>
          <t>Chichester [West Sussex] ; New York : Published on behalf of ACOL, London, by Wiley, c1987.</t>
        </is>
      </c>
      <c r="M74" t="inlineStr">
        <is>
          <t>1987</t>
        </is>
      </c>
      <c r="O74" t="inlineStr">
        <is>
          <t>eng</t>
        </is>
      </c>
      <c r="P74" t="inlineStr">
        <is>
          <t>enk</t>
        </is>
      </c>
      <c r="Q74" t="inlineStr">
        <is>
          <t>Analytical chemistry by open learning</t>
        </is>
      </c>
      <c r="R74" t="inlineStr">
        <is>
          <t xml:space="preserve">QD </t>
        </is>
      </c>
      <c r="S74" t="n">
        <v>6</v>
      </c>
      <c r="T74" t="n">
        <v>6</v>
      </c>
      <c r="U74" t="inlineStr">
        <is>
          <t>1998-10-20</t>
        </is>
      </c>
      <c r="V74" t="inlineStr">
        <is>
          <t>1998-10-20</t>
        </is>
      </c>
      <c r="W74" t="inlineStr">
        <is>
          <t>1993-01-22</t>
        </is>
      </c>
      <c r="X74" t="inlineStr">
        <is>
          <t>1993-01-22</t>
        </is>
      </c>
      <c r="Y74" t="n">
        <v>345</v>
      </c>
      <c r="Z74" t="n">
        <v>219</v>
      </c>
      <c r="AA74" t="n">
        <v>222</v>
      </c>
      <c r="AB74" t="n">
        <v>3</v>
      </c>
      <c r="AC74" t="n">
        <v>3</v>
      </c>
      <c r="AD74" t="n">
        <v>14</v>
      </c>
      <c r="AE74" t="n">
        <v>14</v>
      </c>
      <c r="AF74" t="n">
        <v>4</v>
      </c>
      <c r="AG74" t="n">
        <v>4</v>
      </c>
      <c r="AH74" t="n">
        <v>4</v>
      </c>
      <c r="AI74" t="n">
        <v>4</v>
      </c>
      <c r="AJ74" t="n">
        <v>6</v>
      </c>
      <c r="AK74" t="n">
        <v>6</v>
      </c>
      <c r="AL74" t="n">
        <v>2</v>
      </c>
      <c r="AM74" t="n">
        <v>2</v>
      </c>
      <c r="AN74" t="n">
        <v>0</v>
      </c>
      <c r="AO74" t="n">
        <v>0</v>
      </c>
      <c r="AP74" t="inlineStr">
        <is>
          <t>No</t>
        </is>
      </c>
      <c r="AQ74" t="inlineStr">
        <is>
          <t>Yes</t>
        </is>
      </c>
      <c r="AR74">
        <f>HYPERLINK("http://catalog.hathitrust.org/Record/000832476","HathiTrust Record")</f>
        <v/>
      </c>
      <c r="AS74">
        <f>HYPERLINK("https://creighton-primo.hosted.exlibrisgroup.com/primo-explore/search?tab=default_tab&amp;search_scope=EVERYTHING&amp;vid=01CRU&amp;lang=en_US&amp;offset=0&amp;query=any,contains,991000921729702656","Catalog Record")</f>
        <v/>
      </c>
      <c r="AT74">
        <f>HYPERLINK("http://www.worldcat.org/oclc/14212854","WorldCat Record")</f>
        <v/>
      </c>
      <c r="AU74" t="inlineStr">
        <is>
          <t>8183814:eng</t>
        </is>
      </c>
      <c r="AV74" t="inlineStr">
        <is>
          <t>14212854</t>
        </is>
      </c>
      <c r="AW74" t="inlineStr">
        <is>
          <t>991000921729702656</t>
        </is>
      </c>
      <c r="AX74" t="inlineStr">
        <is>
          <t>991000921729702656</t>
        </is>
      </c>
      <c r="AY74" t="inlineStr">
        <is>
          <t>2268933720002656</t>
        </is>
      </c>
      <c r="AZ74" t="inlineStr">
        <is>
          <t>BOOK</t>
        </is>
      </c>
      <c r="BB74" t="inlineStr">
        <is>
          <t>9780471913290</t>
        </is>
      </c>
      <c r="BC74" t="inlineStr">
        <is>
          <t>32285001515443</t>
        </is>
      </c>
      <c r="BD74" t="inlineStr">
        <is>
          <t>893502933</t>
        </is>
      </c>
    </row>
    <row r="75">
      <c r="A75" t="inlineStr">
        <is>
          <t>No</t>
        </is>
      </c>
      <c r="B75" t="inlineStr">
        <is>
          <t>QD116.P64 K36 1991</t>
        </is>
      </c>
      <c r="C75" t="inlineStr">
        <is>
          <t>0                      QD 0116000P  64                 K  36          1991</t>
        </is>
      </c>
      <c r="D75" t="inlineStr">
        <is>
          <t>Principles of polarography / R.C. Kapoor, B.S. Aggarwal.</t>
        </is>
      </c>
      <c r="F75" t="inlineStr">
        <is>
          <t>No</t>
        </is>
      </c>
      <c r="G75" t="inlineStr">
        <is>
          <t>1</t>
        </is>
      </c>
      <c r="H75" t="inlineStr">
        <is>
          <t>No</t>
        </is>
      </c>
      <c r="I75" t="inlineStr">
        <is>
          <t>No</t>
        </is>
      </c>
      <c r="J75" t="inlineStr">
        <is>
          <t>0</t>
        </is>
      </c>
      <c r="K75" t="inlineStr">
        <is>
          <t>Kapoor, R. C. (Ramesh Chandra), 1927-</t>
        </is>
      </c>
      <c r="L75" t="inlineStr">
        <is>
          <t>New York : Wiley, 1991.</t>
        </is>
      </c>
      <c r="M75" t="inlineStr">
        <is>
          <t>1991</t>
        </is>
      </c>
      <c r="O75" t="inlineStr">
        <is>
          <t>eng</t>
        </is>
      </c>
      <c r="P75" t="inlineStr">
        <is>
          <t>nyu</t>
        </is>
      </c>
      <c r="R75" t="inlineStr">
        <is>
          <t xml:space="preserve">QD </t>
        </is>
      </c>
      <c r="S75" t="n">
        <v>4</v>
      </c>
      <c r="T75" t="n">
        <v>4</v>
      </c>
      <c r="U75" t="inlineStr">
        <is>
          <t>1996-04-01</t>
        </is>
      </c>
      <c r="V75" t="inlineStr">
        <is>
          <t>1996-04-01</t>
        </is>
      </c>
      <c r="W75" t="inlineStr">
        <is>
          <t>1992-04-22</t>
        </is>
      </c>
      <c r="X75" t="inlineStr">
        <is>
          <t>1992-04-22</t>
        </is>
      </c>
      <c r="Y75" t="n">
        <v>123</v>
      </c>
      <c r="Z75" t="n">
        <v>93</v>
      </c>
      <c r="AA75" t="n">
        <v>93</v>
      </c>
      <c r="AB75" t="n">
        <v>4</v>
      </c>
      <c r="AC75" t="n">
        <v>4</v>
      </c>
      <c r="AD75" t="n">
        <v>7</v>
      </c>
      <c r="AE75" t="n">
        <v>7</v>
      </c>
      <c r="AF75" t="n">
        <v>1</v>
      </c>
      <c r="AG75" t="n">
        <v>1</v>
      </c>
      <c r="AH75" t="n">
        <v>2</v>
      </c>
      <c r="AI75" t="n">
        <v>2</v>
      </c>
      <c r="AJ75" t="n">
        <v>4</v>
      </c>
      <c r="AK75" t="n">
        <v>4</v>
      </c>
      <c r="AL75" t="n">
        <v>3</v>
      </c>
      <c r="AM75" t="n">
        <v>3</v>
      </c>
      <c r="AN75" t="n">
        <v>0</v>
      </c>
      <c r="AO75" t="n">
        <v>0</v>
      </c>
      <c r="AP75" t="inlineStr">
        <is>
          <t>No</t>
        </is>
      </c>
      <c r="AQ75" t="inlineStr">
        <is>
          <t>No</t>
        </is>
      </c>
      <c r="AS75">
        <f>HYPERLINK("https://creighton-primo.hosted.exlibrisgroup.com/primo-explore/search?tab=default_tab&amp;search_scope=EVERYTHING&amp;vid=01CRU&amp;lang=en_US&amp;offset=0&amp;query=any,contains,991001822479702656","Catalog Record")</f>
        <v/>
      </c>
      <c r="AT75">
        <f>HYPERLINK("http://www.worldcat.org/oclc/22906153","WorldCat Record")</f>
        <v/>
      </c>
      <c r="AU75" t="inlineStr">
        <is>
          <t>24007850:eng</t>
        </is>
      </c>
      <c r="AV75" t="inlineStr">
        <is>
          <t>22906153</t>
        </is>
      </c>
      <c r="AW75" t="inlineStr">
        <is>
          <t>991001822479702656</t>
        </is>
      </c>
      <c r="AX75" t="inlineStr">
        <is>
          <t>991001822479702656</t>
        </is>
      </c>
      <c r="AY75" t="inlineStr">
        <is>
          <t>2262125660002656</t>
        </is>
      </c>
      <c r="AZ75" t="inlineStr">
        <is>
          <t>BOOK</t>
        </is>
      </c>
      <c r="BB75" t="inlineStr">
        <is>
          <t>9780470217320</t>
        </is>
      </c>
      <c r="BC75" t="inlineStr">
        <is>
          <t>32285001036853</t>
        </is>
      </c>
      <c r="BD75" t="inlineStr">
        <is>
          <t>893785423</t>
        </is>
      </c>
    </row>
    <row r="76">
      <c r="A76" t="inlineStr">
        <is>
          <t>No</t>
        </is>
      </c>
      <c r="B76" t="inlineStr">
        <is>
          <t>QD117.F5 W45</t>
        </is>
      </c>
      <c r="C76" t="inlineStr">
        <is>
          <t>0                      QD 0117000F  5                  W  45</t>
        </is>
      </c>
      <c r="D76" t="inlineStr">
        <is>
          <t>Fluorescence analysis : a practical approach / [by] Charles E. White and Robert J. Argauer.</t>
        </is>
      </c>
      <c r="F76" t="inlineStr">
        <is>
          <t>No</t>
        </is>
      </c>
      <c r="G76" t="inlineStr">
        <is>
          <t>1</t>
        </is>
      </c>
      <c r="H76" t="inlineStr">
        <is>
          <t>No</t>
        </is>
      </c>
      <c r="I76" t="inlineStr">
        <is>
          <t>No</t>
        </is>
      </c>
      <c r="J76" t="inlineStr">
        <is>
          <t>0</t>
        </is>
      </c>
      <c r="K76" t="inlineStr">
        <is>
          <t>White, Charles E. (Charles Edward), 1901-1973.</t>
        </is>
      </c>
      <c r="L76" t="inlineStr">
        <is>
          <t>New York : M. Dekker, 1970.</t>
        </is>
      </c>
      <c r="M76" t="inlineStr">
        <is>
          <t>1970</t>
        </is>
      </c>
      <c r="O76" t="inlineStr">
        <is>
          <t>eng</t>
        </is>
      </c>
      <c r="P76" t="inlineStr">
        <is>
          <t>nyu</t>
        </is>
      </c>
      <c r="R76" t="inlineStr">
        <is>
          <t xml:space="preserve">QD </t>
        </is>
      </c>
      <c r="S76" t="n">
        <v>4</v>
      </c>
      <c r="T76" t="n">
        <v>4</v>
      </c>
      <c r="U76" t="inlineStr">
        <is>
          <t>2001-11-03</t>
        </is>
      </c>
      <c r="V76" t="inlineStr">
        <is>
          <t>2001-11-03</t>
        </is>
      </c>
      <c r="W76" t="inlineStr">
        <is>
          <t>1993-03-15</t>
        </is>
      </c>
      <c r="X76" t="inlineStr">
        <is>
          <t>1993-03-15</t>
        </is>
      </c>
      <c r="Y76" t="n">
        <v>411</v>
      </c>
      <c r="Z76" t="n">
        <v>300</v>
      </c>
      <c r="AA76" t="n">
        <v>301</v>
      </c>
      <c r="AB76" t="n">
        <v>4</v>
      </c>
      <c r="AC76" t="n">
        <v>4</v>
      </c>
      <c r="AD76" t="n">
        <v>13</v>
      </c>
      <c r="AE76" t="n">
        <v>13</v>
      </c>
      <c r="AF76" t="n">
        <v>4</v>
      </c>
      <c r="AG76" t="n">
        <v>4</v>
      </c>
      <c r="AH76" t="n">
        <v>4</v>
      </c>
      <c r="AI76" t="n">
        <v>4</v>
      </c>
      <c r="AJ76" t="n">
        <v>6</v>
      </c>
      <c r="AK76" t="n">
        <v>6</v>
      </c>
      <c r="AL76" t="n">
        <v>3</v>
      </c>
      <c r="AM76" t="n">
        <v>3</v>
      </c>
      <c r="AN76" t="n">
        <v>0</v>
      </c>
      <c r="AO76" t="n">
        <v>0</v>
      </c>
      <c r="AP76" t="inlineStr">
        <is>
          <t>No</t>
        </is>
      </c>
      <c r="AQ76" t="inlineStr">
        <is>
          <t>No</t>
        </is>
      </c>
      <c r="AS76">
        <f>HYPERLINK("https://creighton-primo.hosted.exlibrisgroup.com/primo-explore/search?tab=default_tab&amp;search_scope=EVERYTHING&amp;vid=01CRU&amp;lang=en_US&amp;offset=0&amp;query=any,contains,991000629109702656","Catalog Record")</f>
        <v/>
      </c>
      <c r="AT76">
        <f>HYPERLINK("http://www.worldcat.org/oclc/105366","WorldCat Record")</f>
        <v/>
      </c>
      <c r="AU76" t="inlineStr">
        <is>
          <t>293765040:eng</t>
        </is>
      </c>
      <c r="AV76" t="inlineStr">
        <is>
          <t>105366</t>
        </is>
      </c>
      <c r="AW76" t="inlineStr">
        <is>
          <t>991000629109702656</t>
        </is>
      </c>
      <c r="AX76" t="inlineStr">
        <is>
          <t>991000629109702656</t>
        </is>
      </c>
      <c r="AY76" t="inlineStr">
        <is>
          <t>2263201820002656</t>
        </is>
      </c>
      <c r="AZ76" t="inlineStr">
        <is>
          <t>BOOK</t>
        </is>
      </c>
      <c r="BB76" t="inlineStr">
        <is>
          <t>9780824717810</t>
        </is>
      </c>
      <c r="BC76" t="inlineStr">
        <is>
          <t>32285001570448</t>
        </is>
      </c>
      <c r="BD76" t="inlineStr">
        <is>
          <t>893884588</t>
        </is>
      </c>
    </row>
    <row r="77">
      <c r="A77" t="inlineStr">
        <is>
          <t>No</t>
        </is>
      </c>
      <c r="B77" t="inlineStr">
        <is>
          <t>QD13 .A414 2004</t>
        </is>
      </c>
      <c r="C77" t="inlineStr">
        <is>
          <t>0                      QD 0013000A  414         2004</t>
        </is>
      </c>
      <c r="D77" t="inlineStr">
        <is>
          <t>Alchemy and early modern chemistry : papers from Ambix / editor, Allen G. Debus.</t>
        </is>
      </c>
      <c r="F77" t="inlineStr">
        <is>
          <t>No</t>
        </is>
      </c>
      <c r="G77" t="inlineStr">
        <is>
          <t>1</t>
        </is>
      </c>
      <c r="H77" t="inlineStr">
        <is>
          <t>No</t>
        </is>
      </c>
      <c r="I77" t="inlineStr">
        <is>
          <t>No</t>
        </is>
      </c>
      <c r="J77" t="inlineStr">
        <is>
          <t>0</t>
        </is>
      </c>
      <c r="L77" t="inlineStr">
        <is>
          <t>[London] : Jeremy Mills Pub. for the Society for the History of Alchemy and Chemistry, 2004.</t>
        </is>
      </c>
      <c r="M77" t="inlineStr">
        <is>
          <t>2004</t>
        </is>
      </c>
      <c r="O77" t="inlineStr">
        <is>
          <t>eng</t>
        </is>
      </c>
      <c r="P77" t="inlineStr">
        <is>
          <t>enk</t>
        </is>
      </c>
      <c r="R77" t="inlineStr">
        <is>
          <t xml:space="preserve">QD </t>
        </is>
      </c>
      <c r="S77" t="n">
        <v>1</v>
      </c>
      <c r="T77" t="n">
        <v>1</v>
      </c>
      <c r="U77" t="inlineStr">
        <is>
          <t>2009-05-20</t>
        </is>
      </c>
      <c r="V77" t="inlineStr">
        <is>
          <t>2009-05-20</t>
        </is>
      </c>
      <c r="W77" t="inlineStr">
        <is>
          <t>2005-05-03</t>
        </is>
      </c>
      <c r="X77" t="inlineStr">
        <is>
          <t>2005-05-03</t>
        </is>
      </c>
      <c r="Y77" t="n">
        <v>50</v>
      </c>
      <c r="Z77" t="n">
        <v>27</v>
      </c>
      <c r="AA77" t="n">
        <v>27</v>
      </c>
      <c r="AB77" t="n">
        <v>1</v>
      </c>
      <c r="AC77" t="n">
        <v>1</v>
      </c>
      <c r="AD77" t="n">
        <v>0</v>
      </c>
      <c r="AE77" t="n">
        <v>0</v>
      </c>
      <c r="AF77" t="n">
        <v>0</v>
      </c>
      <c r="AG77" t="n">
        <v>0</v>
      </c>
      <c r="AH77" t="n">
        <v>0</v>
      </c>
      <c r="AI77" t="n">
        <v>0</v>
      </c>
      <c r="AJ77" t="n">
        <v>0</v>
      </c>
      <c r="AK77" t="n">
        <v>0</v>
      </c>
      <c r="AL77" t="n">
        <v>0</v>
      </c>
      <c r="AM77" t="n">
        <v>0</v>
      </c>
      <c r="AN77" t="n">
        <v>0</v>
      </c>
      <c r="AO77" t="n">
        <v>0</v>
      </c>
      <c r="AP77" t="inlineStr">
        <is>
          <t>No</t>
        </is>
      </c>
      <c r="AQ77" t="inlineStr">
        <is>
          <t>No</t>
        </is>
      </c>
      <c r="AS77">
        <f>HYPERLINK("https://creighton-primo.hosted.exlibrisgroup.com/primo-explore/search?tab=default_tab&amp;search_scope=EVERYTHING&amp;vid=01CRU&amp;lang=en_US&amp;offset=0&amp;query=any,contains,991004495289702656","Catalog Record")</f>
        <v/>
      </c>
      <c r="AT77">
        <f>HYPERLINK("http://www.worldcat.org/oclc/56833227","WorldCat Record")</f>
        <v/>
      </c>
      <c r="AU77" t="inlineStr">
        <is>
          <t>865192778:eng</t>
        </is>
      </c>
      <c r="AV77" t="inlineStr">
        <is>
          <t>56833227</t>
        </is>
      </c>
      <c r="AW77" t="inlineStr">
        <is>
          <t>991004495289702656</t>
        </is>
      </c>
      <c r="AX77" t="inlineStr">
        <is>
          <t>991004495289702656</t>
        </is>
      </c>
      <c r="AY77" t="inlineStr">
        <is>
          <t>2269972060002656</t>
        </is>
      </c>
      <c r="AZ77" t="inlineStr">
        <is>
          <t>BOOK</t>
        </is>
      </c>
      <c r="BB77" t="inlineStr">
        <is>
          <t>9780954648411</t>
        </is>
      </c>
      <c r="BC77" t="inlineStr">
        <is>
          <t>32285005035026</t>
        </is>
      </c>
      <c r="BD77" t="inlineStr">
        <is>
          <t>893500643</t>
        </is>
      </c>
    </row>
    <row r="78">
      <c r="A78" t="inlineStr">
        <is>
          <t>No</t>
        </is>
      </c>
      <c r="B78" t="inlineStr">
        <is>
          <t>QD13 .F73 1997</t>
        </is>
      </c>
      <c r="C78" t="inlineStr">
        <is>
          <t>0                      QD 0013000F  73          1997</t>
        </is>
      </c>
      <c r="D78" t="inlineStr">
        <is>
          <t>Alchemical active imagination / Marie-Louise von Franz.</t>
        </is>
      </c>
      <c r="F78" t="inlineStr">
        <is>
          <t>No</t>
        </is>
      </c>
      <c r="G78" t="inlineStr">
        <is>
          <t>1</t>
        </is>
      </c>
      <c r="H78" t="inlineStr">
        <is>
          <t>No</t>
        </is>
      </c>
      <c r="I78" t="inlineStr">
        <is>
          <t>No</t>
        </is>
      </c>
      <c r="J78" t="inlineStr">
        <is>
          <t>0</t>
        </is>
      </c>
      <c r="K78" t="inlineStr">
        <is>
          <t>Franz, Marie-Luise von, 1915-1998.</t>
        </is>
      </c>
      <c r="L78" t="inlineStr">
        <is>
          <t>Boston, Mass : Shambhala, 1997.</t>
        </is>
      </c>
      <c r="M78" t="inlineStr">
        <is>
          <t>1997</t>
        </is>
      </c>
      <c r="N78" t="inlineStr">
        <is>
          <t>Rev. ed.</t>
        </is>
      </c>
      <c r="O78" t="inlineStr">
        <is>
          <t>eng</t>
        </is>
      </c>
      <c r="P78" t="inlineStr">
        <is>
          <t>mau</t>
        </is>
      </c>
      <c r="R78" t="inlineStr">
        <is>
          <t xml:space="preserve">QD </t>
        </is>
      </c>
      <c r="S78" t="n">
        <v>0</v>
      </c>
      <c r="T78" t="n">
        <v>0</v>
      </c>
      <c r="U78" t="inlineStr">
        <is>
          <t>2003-11-05</t>
        </is>
      </c>
      <c r="V78" t="inlineStr">
        <is>
          <t>2003-11-05</t>
        </is>
      </c>
      <c r="W78" t="inlineStr">
        <is>
          <t>1999-04-26</t>
        </is>
      </c>
      <c r="X78" t="inlineStr">
        <is>
          <t>1999-04-26</t>
        </is>
      </c>
      <c r="Y78" t="n">
        <v>128</v>
      </c>
      <c r="Z78" t="n">
        <v>106</v>
      </c>
      <c r="AA78" t="n">
        <v>225</v>
      </c>
      <c r="AB78" t="n">
        <v>1</v>
      </c>
      <c r="AC78" t="n">
        <v>1</v>
      </c>
      <c r="AD78" t="n">
        <v>5</v>
      </c>
      <c r="AE78" t="n">
        <v>5</v>
      </c>
      <c r="AF78" t="n">
        <v>2</v>
      </c>
      <c r="AG78" t="n">
        <v>2</v>
      </c>
      <c r="AH78" t="n">
        <v>1</v>
      </c>
      <c r="AI78" t="n">
        <v>1</v>
      </c>
      <c r="AJ78" t="n">
        <v>4</v>
      </c>
      <c r="AK78" t="n">
        <v>4</v>
      </c>
      <c r="AL78" t="n">
        <v>0</v>
      </c>
      <c r="AM78" t="n">
        <v>0</v>
      </c>
      <c r="AN78" t="n">
        <v>0</v>
      </c>
      <c r="AO78" t="n">
        <v>0</v>
      </c>
      <c r="AP78" t="inlineStr">
        <is>
          <t>No</t>
        </is>
      </c>
      <c r="AQ78" t="inlineStr">
        <is>
          <t>No</t>
        </is>
      </c>
      <c r="AS78">
        <f>HYPERLINK("https://creighton-primo.hosted.exlibrisgroup.com/primo-explore/search?tab=default_tab&amp;search_scope=EVERYTHING&amp;vid=01CRU&amp;lang=en_US&amp;offset=0&amp;query=any,contains,991002845149702656","Catalog Record")</f>
        <v/>
      </c>
      <c r="AT78">
        <f>HYPERLINK("http://www.worldcat.org/oclc/37492070","WorldCat Record")</f>
        <v/>
      </c>
      <c r="AU78" t="inlineStr">
        <is>
          <t>149110021:eng</t>
        </is>
      </c>
      <c r="AV78" t="inlineStr">
        <is>
          <t>37492070</t>
        </is>
      </c>
      <c r="AW78" t="inlineStr">
        <is>
          <t>991002845149702656</t>
        </is>
      </c>
      <c r="AX78" t="inlineStr">
        <is>
          <t>991002845149702656</t>
        </is>
      </c>
      <c r="AY78" t="inlineStr">
        <is>
          <t>2262620620002656</t>
        </is>
      </c>
      <c r="AZ78" t="inlineStr">
        <is>
          <t>BOOK</t>
        </is>
      </c>
      <c r="BB78" t="inlineStr">
        <is>
          <t>9780877735892</t>
        </is>
      </c>
      <c r="BC78" t="inlineStr">
        <is>
          <t>32285003555397</t>
        </is>
      </c>
      <c r="BD78" t="inlineStr">
        <is>
          <t>893710747</t>
        </is>
      </c>
    </row>
    <row r="79">
      <c r="A79" t="inlineStr">
        <is>
          <t>No</t>
        </is>
      </c>
      <c r="B79" t="inlineStr">
        <is>
          <t>QD13 .J5 1974</t>
        </is>
      </c>
      <c r="C79" t="inlineStr">
        <is>
          <t>0                      QD 0013000J  5           1974</t>
        </is>
      </c>
      <c r="D79" t="inlineStr">
        <is>
          <t>A study of Chinese alchemy / Obed Simon Johnson.</t>
        </is>
      </c>
      <c r="F79" t="inlineStr">
        <is>
          <t>No</t>
        </is>
      </c>
      <c r="G79" t="inlineStr">
        <is>
          <t>1</t>
        </is>
      </c>
      <c r="H79" t="inlineStr">
        <is>
          <t>No</t>
        </is>
      </c>
      <c r="I79" t="inlineStr">
        <is>
          <t>No</t>
        </is>
      </c>
      <c r="J79" t="inlineStr">
        <is>
          <t>0</t>
        </is>
      </c>
      <c r="K79" t="inlineStr">
        <is>
          <t>Johnson, Obed Simon, 1881-</t>
        </is>
      </c>
      <c r="L79" t="inlineStr">
        <is>
          <t>New York, Arno Press, 1974.</t>
        </is>
      </c>
      <c r="M79" t="inlineStr">
        <is>
          <t>1974</t>
        </is>
      </c>
      <c r="O79" t="inlineStr">
        <is>
          <t>eng</t>
        </is>
      </c>
      <c r="P79" t="inlineStr">
        <is>
          <t>nyu</t>
        </is>
      </c>
      <c r="Q79" t="inlineStr">
        <is>
          <t>Gold-- historical and economic aspects</t>
        </is>
      </c>
      <c r="R79" t="inlineStr">
        <is>
          <t xml:space="preserve">QD </t>
        </is>
      </c>
      <c r="S79" t="n">
        <v>8</v>
      </c>
      <c r="T79" t="n">
        <v>8</v>
      </c>
      <c r="U79" t="inlineStr">
        <is>
          <t>2007-12-17</t>
        </is>
      </c>
      <c r="V79" t="inlineStr">
        <is>
          <t>2007-12-17</t>
        </is>
      </c>
      <c r="W79" t="inlineStr">
        <is>
          <t>1993-01-14</t>
        </is>
      </c>
      <c r="X79" t="inlineStr">
        <is>
          <t>1993-01-14</t>
        </is>
      </c>
      <c r="Y79" t="n">
        <v>98</v>
      </c>
      <c r="Z79" t="n">
        <v>83</v>
      </c>
      <c r="AA79" t="n">
        <v>141</v>
      </c>
      <c r="AB79" t="n">
        <v>1</v>
      </c>
      <c r="AC79" t="n">
        <v>1</v>
      </c>
      <c r="AD79" t="n">
        <v>1</v>
      </c>
      <c r="AE79" t="n">
        <v>3</v>
      </c>
      <c r="AF79" t="n">
        <v>0</v>
      </c>
      <c r="AG79" t="n">
        <v>1</v>
      </c>
      <c r="AH79" t="n">
        <v>0</v>
      </c>
      <c r="AI79" t="n">
        <v>0</v>
      </c>
      <c r="AJ79" t="n">
        <v>1</v>
      </c>
      <c r="AK79" t="n">
        <v>3</v>
      </c>
      <c r="AL79" t="n">
        <v>0</v>
      </c>
      <c r="AM79" t="n">
        <v>0</v>
      </c>
      <c r="AN79" t="n">
        <v>0</v>
      </c>
      <c r="AO79" t="n">
        <v>0</v>
      </c>
      <c r="AP79" t="inlineStr">
        <is>
          <t>No</t>
        </is>
      </c>
      <c r="AQ79" t="inlineStr">
        <is>
          <t>Yes</t>
        </is>
      </c>
      <c r="AR79">
        <f>HYPERLINK("http://catalog.hathitrust.org/Record/009463709","HathiTrust Record")</f>
        <v/>
      </c>
      <c r="AS79">
        <f>HYPERLINK("https://creighton-primo.hosted.exlibrisgroup.com/primo-explore/search?tab=default_tab&amp;search_scope=EVERYTHING&amp;vid=01CRU&amp;lang=en_US&amp;offset=0&amp;query=any,contains,991003353219702656","Catalog Record")</f>
        <v/>
      </c>
      <c r="AT79">
        <f>HYPERLINK("http://www.worldcat.org/oclc/886291","WorldCat Record")</f>
        <v/>
      </c>
      <c r="AU79" t="inlineStr">
        <is>
          <t>1865939:eng</t>
        </is>
      </c>
      <c r="AV79" t="inlineStr">
        <is>
          <t>886291</t>
        </is>
      </c>
      <c r="AW79" t="inlineStr">
        <is>
          <t>991003353219702656</t>
        </is>
      </c>
      <c r="AX79" t="inlineStr">
        <is>
          <t>991003353219702656</t>
        </is>
      </c>
      <c r="AY79" t="inlineStr">
        <is>
          <t>2257329120002656</t>
        </is>
      </c>
      <c r="AZ79" t="inlineStr">
        <is>
          <t>BOOK</t>
        </is>
      </c>
      <c r="BB79" t="inlineStr">
        <is>
          <t>9780405059148</t>
        </is>
      </c>
      <c r="BC79" t="inlineStr">
        <is>
          <t>32285001399459</t>
        </is>
      </c>
      <c r="BD79" t="inlineStr">
        <is>
          <t>893324015</t>
        </is>
      </c>
    </row>
    <row r="80">
      <c r="A80" t="inlineStr">
        <is>
          <t>No</t>
        </is>
      </c>
      <c r="B80" t="inlineStr">
        <is>
          <t>QD13 .R4 1973</t>
        </is>
      </c>
      <c r="C80" t="inlineStr">
        <is>
          <t>0                      QD 0013000R  4           1973</t>
        </is>
      </c>
      <c r="D80" t="inlineStr">
        <is>
          <t>Alchemy, ancient and modern : being a brief account of the alchemistic doctrines, and their relations, to mysticism on the one hand, and to recent discoveries in physical science on the other hand ; together with some particulars regarding the lives and teachings of the most noted alchemists / By H. Stanley Redgrove. With a new introd. by H. J. Sheppard with 16 full-page illustrations.</t>
        </is>
      </c>
      <c r="F80" t="inlineStr">
        <is>
          <t>No</t>
        </is>
      </c>
      <c r="G80" t="inlineStr">
        <is>
          <t>1</t>
        </is>
      </c>
      <c r="H80" t="inlineStr">
        <is>
          <t>No</t>
        </is>
      </c>
      <c r="I80" t="inlineStr">
        <is>
          <t>No</t>
        </is>
      </c>
      <c r="J80" t="inlineStr">
        <is>
          <t>0</t>
        </is>
      </c>
      <c r="K80" t="inlineStr">
        <is>
          <t>Redgrove, H. Stanley (Herbert Stanley), 1887-1943.</t>
        </is>
      </c>
      <c r="L80" t="inlineStr">
        <is>
          <t>New York : Barnes &amp; Noble, [1973, c1922]</t>
        </is>
      </c>
      <c r="M80" t="inlineStr">
        <is>
          <t>1973</t>
        </is>
      </c>
      <c r="N80" t="inlineStr">
        <is>
          <t>2d. and rev. ed.</t>
        </is>
      </c>
      <c r="O80" t="inlineStr">
        <is>
          <t>eng</t>
        </is>
      </c>
      <c r="P80" t="inlineStr">
        <is>
          <t xml:space="preserve">xx </t>
        </is>
      </c>
      <c r="R80" t="inlineStr">
        <is>
          <t xml:space="preserve">QD </t>
        </is>
      </c>
      <c r="S80" t="n">
        <v>2</v>
      </c>
      <c r="T80" t="n">
        <v>2</v>
      </c>
      <c r="U80" t="inlineStr">
        <is>
          <t>2010-04-19</t>
        </is>
      </c>
      <c r="V80" t="inlineStr">
        <is>
          <t>2010-04-19</t>
        </is>
      </c>
      <c r="W80" t="inlineStr">
        <is>
          <t>1992-01-14</t>
        </is>
      </c>
      <c r="X80" t="inlineStr">
        <is>
          <t>1992-01-14</t>
        </is>
      </c>
      <c r="Y80" t="n">
        <v>135</v>
      </c>
      <c r="Z80" t="n">
        <v>133</v>
      </c>
      <c r="AA80" t="n">
        <v>361</v>
      </c>
      <c r="AB80" t="n">
        <v>3</v>
      </c>
      <c r="AC80" t="n">
        <v>4</v>
      </c>
      <c r="AD80" t="n">
        <v>8</v>
      </c>
      <c r="AE80" t="n">
        <v>16</v>
      </c>
      <c r="AF80" t="n">
        <v>3</v>
      </c>
      <c r="AG80" t="n">
        <v>6</v>
      </c>
      <c r="AH80" t="n">
        <v>2</v>
      </c>
      <c r="AI80" t="n">
        <v>3</v>
      </c>
      <c r="AJ80" t="n">
        <v>3</v>
      </c>
      <c r="AK80" t="n">
        <v>9</v>
      </c>
      <c r="AL80" t="n">
        <v>2</v>
      </c>
      <c r="AM80" t="n">
        <v>3</v>
      </c>
      <c r="AN80" t="n">
        <v>0</v>
      </c>
      <c r="AO80" t="n">
        <v>0</v>
      </c>
      <c r="AP80" t="inlineStr">
        <is>
          <t>No</t>
        </is>
      </c>
      <c r="AQ80" t="inlineStr">
        <is>
          <t>Yes</t>
        </is>
      </c>
      <c r="AR80">
        <f>HYPERLINK("http://catalog.hathitrust.org/Record/102017486","HathiTrust Record")</f>
        <v/>
      </c>
      <c r="AS80">
        <f>HYPERLINK("https://creighton-primo.hosted.exlibrisgroup.com/primo-explore/search?tab=default_tab&amp;search_scope=EVERYTHING&amp;vid=01CRU&amp;lang=en_US&amp;offset=0&amp;query=any,contains,991003515039702656","Catalog Record")</f>
        <v/>
      </c>
      <c r="AT80">
        <f>HYPERLINK("http://www.worldcat.org/oclc/1072038","WorldCat Record")</f>
        <v/>
      </c>
      <c r="AU80" t="inlineStr">
        <is>
          <t>2027277:eng</t>
        </is>
      </c>
      <c r="AV80" t="inlineStr">
        <is>
          <t>1072038</t>
        </is>
      </c>
      <c r="AW80" t="inlineStr">
        <is>
          <t>991003515039702656</t>
        </is>
      </c>
      <c r="AX80" t="inlineStr">
        <is>
          <t>991003515039702656</t>
        </is>
      </c>
      <c r="AY80" t="inlineStr">
        <is>
          <t>2255391110002656</t>
        </is>
      </c>
      <c r="AZ80" t="inlineStr">
        <is>
          <t>BOOK</t>
        </is>
      </c>
      <c r="BC80" t="inlineStr">
        <is>
          <t>32285000911817</t>
        </is>
      </c>
      <c r="BD80" t="inlineStr">
        <is>
          <t>893774812</t>
        </is>
      </c>
    </row>
    <row r="81">
      <c r="A81" t="inlineStr">
        <is>
          <t>No</t>
        </is>
      </c>
      <c r="B81" t="inlineStr">
        <is>
          <t>QD13 .R63 1994</t>
        </is>
      </c>
      <c r="C81" t="inlineStr">
        <is>
          <t>0                      QD 0013000R  63          1994</t>
        </is>
      </c>
      <c r="D81" t="inlineStr">
        <is>
          <t>The mirror of alchemy : alchemical ideas and images in manuscripts and books : from antiquity to the seventeenth century / Gareth Roberts.</t>
        </is>
      </c>
      <c r="F81" t="inlineStr">
        <is>
          <t>No</t>
        </is>
      </c>
      <c r="G81" t="inlineStr">
        <is>
          <t>1</t>
        </is>
      </c>
      <c r="H81" t="inlineStr">
        <is>
          <t>No</t>
        </is>
      </c>
      <c r="I81" t="inlineStr">
        <is>
          <t>No</t>
        </is>
      </c>
      <c r="J81" t="inlineStr">
        <is>
          <t>0</t>
        </is>
      </c>
      <c r="K81" t="inlineStr">
        <is>
          <t>Roberts, Gareth, 1949-</t>
        </is>
      </c>
      <c r="L81" t="inlineStr">
        <is>
          <t>Toronto : University of Toronto Press, c1994.</t>
        </is>
      </c>
      <c r="M81" t="inlineStr">
        <is>
          <t>1994</t>
        </is>
      </c>
      <c r="O81" t="inlineStr">
        <is>
          <t>eng</t>
        </is>
      </c>
      <c r="P81" t="inlineStr">
        <is>
          <t>onc</t>
        </is>
      </c>
      <c r="R81" t="inlineStr">
        <is>
          <t xml:space="preserve">QD </t>
        </is>
      </c>
      <c r="S81" t="n">
        <v>3</v>
      </c>
      <c r="T81" t="n">
        <v>3</v>
      </c>
      <c r="U81" t="inlineStr">
        <is>
          <t>2008-02-15</t>
        </is>
      </c>
      <c r="V81" t="inlineStr">
        <is>
          <t>2008-02-15</t>
        </is>
      </c>
      <c r="W81" t="inlineStr">
        <is>
          <t>1995-04-26</t>
        </is>
      </c>
      <c r="X81" t="inlineStr">
        <is>
          <t>1995-04-26</t>
        </is>
      </c>
      <c r="Y81" t="n">
        <v>312</v>
      </c>
      <c r="Z81" t="n">
        <v>247</v>
      </c>
      <c r="AA81" t="n">
        <v>294</v>
      </c>
      <c r="AB81" t="n">
        <v>1</v>
      </c>
      <c r="AC81" t="n">
        <v>1</v>
      </c>
      <c r="AD81" t="n">
        <v>14</v>
      </c>
      <c r="AE81" t="n">
        <v>15</v>
      </c>
      <c r="AF81" t="n">
        <v>2</v>
      </c>
      <c r="AG81" t="n">
        <v>2</v>
      </c>
      <c r="AH81" t="n">
        <v>5</v>
      </c>
      <c r="AI81" t="n">
        <v>5</v>
      </c>
      <c r="AJ81" t="n">
        <v>10</v>
      </c>
      <c r="AK81" t="n">
        <v>11</v>
      </c>
      <c r="AL81" t="n">
        <v>0</v>
      </c>
      <c r="AM81" t="n">
        <v>0</v>
      </c>
      <c r="AN81" t="n">
        <v>0</v>
      </c>
      <c r="AO81" t="n">
        <v>0</v>
      </c>
      <c r="AP81" t="inlineStr">
        <is>
          <t>No</t>
        </is>
      </c>
      <c r="AQ81" t="inlineStr">
        <is>
          <t>Yes</t>
        </is>
      </c>
      <c r="AR81">
        <f>HYPERLINK("http://catalog.hathitrust.org/Record/007551508","HathiTrust Record")</f>
        <v/>
      </c>
      <c r="AS81">
        <f>HYPERLINK("https://creighton-primo.hosted.exlibrisgroup.com/primo-explore/search?tab=default_tab&amp;search_scope=EVERYTHING&amp;vid=01CRU&amp;lang=en_US&amp;offset=0&amp;query=any,contains,991002405349702656","Catalog Record")</f>
        <v/>
      </c>
      <c r="AT81">
        <f>HYPERLINK("http://www.worldcat.org/oclc/31290060","WorldCat Record")</f>
        <v/>
      </c>
      <c r="AU81" t="inlineStr">
        <is>
          <t>304436769:eng</t>
        </is>
      </c>
      <c r="AV81" t="inlineStr">
        <is>
          <t>31290060</t>
        </is>
      </c>
      <c r="AW81" t="inlineStr">
        <is>
          <t>991002405349702656</t>
        </is>
      </c>
      <c r="AX81" t="inlineStr">
        <is>
          <t>991002405349702656</t>
        </is>
      </c>
      <c r="AY81" t="inlineStr">
        <is>
          <t>2265795990002656</t>
        </is>
      </c>
      <c r="AZ81" t="inlineStr">
        <is>
          <t>BOOK</t>
        </is>
      </c>
      <c r="BB81" t="inlineStr">
        <is>
          <t>9780802007100</t>
        </is>
      </c>
      <c r="BC81" t="inlineStr">
        <is>
          <t>32285002036308</t>
        </is>
      </c>
      <c r="BD81" t="inlineStr">
        <is>
          <t>893329027</t>
        </is>
      </c>
    </row>
    <row r="82">
      <c r="A82" t="inlineStr">
        <is>
          <t>No</t>
        </is>
      </c>
      <c r="B82" t="inlineStr">
        <is>
          <t>QD139.G5 P38 1982</t>
        </is>
      </c>
      <c r="C82" t="inlineStr">
        <is>
          <t>0                      QD 0139000G  5                  P  38          1982</t>
        </is>
      </c>
      <c r="D82" t="inlineStr">
        <is>
          <t>Chemistry of glasses / A. Paul.</t>
        </is>
      </c>
      <c r="F82" t="inlineStr">
        <is>
          <t>No</t>
        </is>
      </c>
      <c r="G82" t="inlineStr">
        <is>
          <t>1</t>
        </is>
      </c>
      <c r="H82" t="inlineStr">
        <is>
          <t>No</t>
        </is>
      </c>
      <c r="I82" t="inlineStr">
        <is>
          <t>No</t>
        </is>
      </c>
      <c r="J82" t="inlineStr">
        <is>
          <t>0</t>
        </is>
      </c>
      <c r="K82" t="inlineStr">
        <is>
          <t>Paul, A. (Amal)</t>
        </is>
      </c>
      <c r="L82" t="inlineStr">
        <is>
          <t>London ; New York : Chapman and Hall, 1982.</t>
        </is>
      </c>
      <c r="M82" t="inlineStr">
        <is>
          <t>1982</t>
        </is>
      </c>
      <c r="O82" t="inlineStr">
        <is>
          <t>eng</t>
        </is>
      </c>
      <c r="P82" t="inlineStr">
        <is>
          <t>enk</t>
        </is>
      </c>
      <c r="R82" t="inlineStr">
        <is>
          <t xml:space="preserve">QD </t>
        </is>
      </c>
      <c r="S82" t="n">
        <v>4</v>
      </c>
      <c r="T82" t="n">
        <v>4</v>
      </c>
      <c r="U82" t="inlineStr">
        <is>
          <t>2006-03-06</t>
        </is>
      </c>
      <c r="V82" t="inlineStr">
        <is>
          <t>2006-03-06</t>
        </is>
      </c>
      <c r="W82" t="inlineStr">
        <is>
          <t>1993-01-25</t>
        </is>
      </c>
      <c r="X82" t="inlineStr">
        <is>
          <t>1993-01-25</t>
        </is>
      </c>
      <c r="Y82" t="n">
        <v>372</v>
      </c>
      <c r="Z82" t="n">
        <v>264</v>
      </c>
      <c r="AA82" t="n">
        <v>351</v>
      </c>
      <c r="AB82" t="n">
        <v>2</v>
      </c>
      <c r="AC82" t="n">
        <v>2</v>
      </c>
      <c r="AD82" t="n">
        <v>11</v>
      </c>
      <c r="AE82" t="n">
        <v>14</v>
      </c>
      <c r="AF82" t="n">
        <v>5</v>
      </c>
      <c r="AG82" t="n">
        <v>6</v>
      </c>
      <c r="AH82" t="n">
        <v>5</v>
      </c>
      <c r="AI82" t="n">
        <v>5</v>
      </c>
      <c r="AJ82" t="n">
        <v>5</v>
      </c>
      <c r="AK82" t="n">
        <v>8</v>
      </c>
      <c r="AL82" t="n">
        <v>1</v>
      </c>
      <c r="AM82" t="n">
        <v>1</v>
      </c>
      <c r="AN82" t="n">
        <v>0</v>
      </c>
      <c r="AO82" t="n">
        <v>0</v>
      </c>
      <c r="AP82" t="inlineStr">
        <is>
          <t>No</t>
        </is>
      </c>
      <c r="AQ82" t="inlineStr">
        <is>
          <t>Yes</t>
        </is>
      </c>
      <c r="AR82">
        <f>HYPERLINK("http://catalog.hathitrust.org/Record/009494841","HathiTrust Record")</f>
        <v/>
      </c>
      <c r="AS82">
        <f>HYPERLINK("https://creighton-primo.hosted.exlibrisgroup.com/primo-explore/search?tab=default_tab&amp;search_scope=EVERYTHING&amp;vid=01CRU&amp;lang=en_US&amp;offset=0&amp;query=any,contains,991005169199702656","Catalog Record")</f>
        <v/>
      </c>
      <c r="AT82">
        <f>HYPERLINK("http://www.worldcat.org/oclc/7837884","WorldCat Record")</f>
        <v/>
      </c>
      <c r="AU82" t="inlineStr">
        <is>
          <t>22668802:eng</t>
        </is>
      </c>
      <c r="AV82" t="inlineStr">
        <is>
          <t>7837884</t>
        </is>
      </c>
      <c r="AW82" t="inlineStr">
        <is>
          <t>991005169199702656</t>
        </is>
      </c>
      <c r="AX82" t="inlineStr">
        <is>
          <t>991005169199702656</t>
        </is>
      </c>
      <c r="AY82" t="inlineStr">
        <is>
          <t>2256735390002656</t>
        </is>
      </c>
      <c r="AZ82" t="inlineStr">
        <is>
          <t>BOOK</t>
        </is>
      </c>
      <c r="BB82" t="inlineStr">
        <is>
          <t>9780412230202</t>
        </is>
      </c>
      <c r="BC82" t="inlineStr">
        <is>
          <t>32285001515500</t>
        </is>
      </c>
      <c r="BD82" t="inlineStr">
        <is>
          <t>893443522</t>
        </is>
      </c>
    </row>
    <row r="83">
      <c r="A83" t="inlineStr">
        <is>
          <t>No</t>
        </is>
      </c>
      <c r="B83" t="inlineStr">
        <is>
          <t>QD139.P6 L56</t>
        </is>
      </c>
      <c r="C83" t="inlineStr">
        <is>
          <t>0                      QD 0139000P  6                  L  56</t>
        </is>
      </c>
      <c r="D83" t="inlineStr">
        <is>
          <t>Liquid chromatography of polymers and related materials III / edited by Jack Cazes.</t>
        </is>
      </c>
      <c r="F83" t="inlineStr">
        <is>
          <t>No</t>
        </is>
      </c>
      <c r="G83" t="inlineStr">
        <is>
          <t>1</t>
        </is>
      </c>
      <c r="H83" t="inlineStr">
        <is>
          <t>No</t>
        </is>
      </c>
      <c r="I83" t="inlineStr">
        <is>
          <t>No</t>
        </is>
      </c>
      <c r="J83" t="inlineStr">
        <is>
          <t>0</t>
        </is>
      </c>
      <c r="L83" t="inlineStr">
        <is>
          <t>New York : M. Dekker, c1981.</t>
        </is>
      </c>
      <c r="M83" t="inlineStr">
        <is>
          <t>1981</t>
        </is>
      </c>
      <c r="O83" t="inlineStr">
        <is>
          <t>eng</t>
        </is>
      </c>
      <c r="P83" t="inlineStr">
        <is>
          <t>nyu</t>
        </is>
      </c>
      <c r="Q83" t="inlineStr">
        <is>
          <t>Chromatographic science ; v. 19</t>
        </is>
      </c>
      <c r="R83" t="inlineStr">
        <is>
          <t xml:space="preserve">QD </t>
        </is>
      </c>
      <c r="S83" t="n">
        <v>1</v>
      </c>
      <c r="T83" t="n">
        <v>1</v>
      </c>
      <c r="U83" t="inlineStr">
        <is>
          <t>1993-02-22</t>
        </is>
      </c>
      <c r="V83" t="inlineStr">
        <is>
          <t>1993-02-22</t>
        </is>
      </c>
      <c r="W83" t="inlineStr">
        <is>
          <t>1993-01-25</t>
        </is>
      </c>
      <c r="X83" t="inlineStr">
        <is>
          <t>1993-01-25</t>
        </is>
      </c>
      <c r="Y83" t="n">
        <v>170</v>
      </c>
      <c r="Z83" t="n">
        <v>130</v>
      </c>
      <c r="AA83" t="n">
        <v>138</v>
      </c>
      <c r="AB83" t="n">
        <v>1</v>
      </c>
      <c r="AC83" t="n">
        <v>1</v>
      </c>
      <c r="AD83" t="n">
        <v>2</v>
      </c>
      <c r="AE83" t="n">
        <v>2</v>
      </c>
      <c r="AF83" t="n">
        <v>0</v>
      </c>
      <c r="AG83" t="n">
        <v>0</v>
      </c>
      <c r="AH83" t="n">
        <v>1</v>
      </c>
      <c r="AI83" t="n">
        <v>1</v>
      </c>
      <c r="AJ83" t="n">
        <v>2</v>
      </c>
      <c r="AK83" t="n">
        <v>2</v>
      </c>
      <c r="AL83" t="n">
        <v>0</v>
      </c>
      <c r="AM83" t="n">
        <v>0</v>
      </c>
      <c r="AN83" t="n">
        <v>0</v>
      </c>
      <c r="AO83" t="n">
        <v>0</v>
      </c>
      <c r="AP83" t="inlineStr">
        <is>
          <t>No</t>
        </is>
      </c>
      <c r="AQ83" t="inlineStr">
        <is>
          <t>No</t>
        </is>
      </c>
      <c r="AS83">
        <f>HYPERLINK("https://creighton-primo.hosted.exlibrisgroup.com/primo-explore/search?tab=default_tab&amp;search_scope=EVERYTHING&amp;vid=01CRU&amp;lang=en_US&amp;offset=0&amp;query=any,contains,991005132269702656","Catalog Record")</f>
        <v/>
      </c>
      <c r="AT83">
        <f>HYPERLINK("http://www.worldcat.org/oclc/7573491","WorldCat Record")</f>
        <v/>
      </c>
      <c r="AU83" t="inlineStr">
        <is>
          <t>4757818425:eng</t>
        </is>
      </c>
      <c r="AV83" t="inlineStr">
        <is>
          <t>7573491</t>
        </is>
      </c>
      <c r="AW83" t="inlineStr">
        <is>
          <t>991005132269702656</t>
        </is>
      </c>
      <c r="AX83" t="inlineStr">
        <is>
          <t>991005132269702656</t>
        </is>
      </c>
      <c r="AY83" t="inlineStr">
        <is>
          <t>2271541120002656</t>
        </is>
      </c>
      <c r="AZ83" t="inlineStr">
        <is>
          <t>BOOK</t>
        </is>
      </c>
      <c r="BB83" t="inlineStr">
        <is>
          <t>9780824715144</t>
        </is>
      </c>
      <c r="BC83" t="inlineStr">
        <is>
          <t>32285001515518</t>
        </is>
      </c>
      <c r="BD83" t="inlineStr">
        <is>
          <t>893430907</t>
        </is>
      </c>
    </row>
    <row r="84">
      <c r="A84" t="inlineStr">
        <is>
          <t>No</t>
        </is>
      </c>
      <c r="B84" t="inlineStr">
        <is>
          <t>QD139.P6 M63 1991</t>
        </is>
      </c>
      <c r="C84" t="inlineStr">
        <is>
          <t>0                      QD 0139000P  6                  M  63          1991</t>
        </is>
      </c>
      <c r="D84" t="inlineStr">
        <is>
          <t>Modern methods of polymer characterization / edited by Howard G. Barth, Jimmy W. Mays.</t>
        </is>
      </c>
      <c r="F84" t="inlineStr">
        <is>
          <t>No</t>
        </is>
      </c>
      <c r="G84" t="inlineStr">
        <is>
          <t>1</t>
        </is>
      </c>
      <c r="H84" t="inlineStr">
        <is>
          <t>No</t>
        </is>
      </c>
      <c r="I84" t="inlineStr">
        <is>
          <t>No</t>
        </is>
      </c>
      <c r="J84" t="inlineStr">
        <is>
          <t>0</t>
        </is>
      </c>
      <c r="L84" t="inlineStr">
        <is>
          <t>New York : J. Wiley, c1991.</t>
        </is>
      </c>
      <c r="M84" t="inlineStr">
        <is>
          <t>1991</t>
        </is>
      </c>
      <c r="O84" t="inlineStr">
        <is>
          <t>eng</t>
        </is>
      </c>
      <c r="P84" t="inlineStr">
        <is>
          <t>nyu</t>
        </is>
      </c>
      <c r="Q84" t="inlineStr">
        <is>
          <t>Chemical analysis, 0069-2883 ; v. 113</t>
        </is>
      </c>
      <c r="R84" t="inlineStr">
        <is>
          <t xml:space="preserve">QD </t>
        </is>
      </c>
      <c r="S84" t="n">
        <v>6</v>
      </c>
      <c r="T84" t="n">
        <v>6</v>
      </c>
      <c r="U84" t="inlineStr">
        <is>
          <t>2001-02-22</t>
        </is>
      </c>
      <c r="V84" t="inlineStr">
        <is>
          <t>2001-02-22</t>
        </is>
      </c>
      <c r="W84" t="inlineStr">
        <is>
          <t>1991-12-15</t>
        </is>
      </c>
      <c r="X84" t="inlineStr">
        <is>
          <t>1991-12-15</t>
        </is>
      </c>
      <c r="Y84" t="n">
        <v>331</v>
      </c>
      <c r="Z84" t="n">
        <v>242</v>
      </c>
      <c r="AA84" t="n">
        <v>243</v>
      </c>
      <c r="AB84" t="n">
        <v>3</v>
      </c>
      <c r="AC84" t="n">
        <v>3</v>
      </c>
      <c r="AD84" t="n">
        <v>12</v>
      </c>
      <c r="AE84" t="n">
        <v>12</v>
      </c>
      <c r="AF84" t="n">
        <v>1</v>
      </c>
      <c r="AG84" t="n">
        <v>1</v>
      </c>
      <c r="AH84" t="n">
        <v>5</v>
      </c>
      <c r="AI84" t="n">
        <v>5</v>
      </c>
      <c r="AJ84" t="n">
        <v>8</v>
      </c>
      <c r="AK84" t="n">
        <v>8</v>
      </c>
      <c r="AL84" t="n">
        <v>2</v>
      </c>
      <c r="AM84" t="n">
        <v>2</v>
      </c>
      <c r="AN84" t="n">
        <v>0</v>
      </c>
      <c r="AO84" t="n">
        <v>0</v>
      </c>
      <c r="AP84" t="inlineStr">
        <is>
          <t>No</t>
        </is>
      </c>
      <c r="AQ84" t="inlineStr">
        <is>
          <t>No</t>
        </is>
      </c>
      <c r="AS84">
        <f>HYPERLINK("https://creighton-primo.hosted.exlibrisgroup.com/primo-explore/search?tab=default_tab&amp;search_scope=EVERYTHING&amp;vid=01CRU&amp;lang=en_US&amp;offset=0&amp;query=any,contains,991001797709702656","Catalog Record")</f>
        <v/>
      </c>
      <c r="AT84">
        <f>HYPERLINK("http://www.worldcat.org/oclc/22624432","WorldCat Record")</f>
        <v/>
      </c>
      <c r="AU84" t="inlineStr">
        <is>
          <t>350245727:eng</t>
        </is>
      </c>
      <c r="AV84" t="inlineStr">
        <is>
          <t>22624432</t>
        </is>
      </c>
      <c r="AW84" t="inlineStr">
        <is>
          <t>991001797709702656</t>
        </is>
      </c>
      <c r="AX84" t="inlineStr">
        <is>
          <t>991001797709702656</t>
        </is>
      </c>
      <c r="AY84" t="inlineStr">
        <is>
          <t>2271563840002656</t>
        </is>
      </c>
      <c r="AZ84" t="inlineStr">
        <is>
          <t>BOOK</t>
        </is>
      </c>
      <c r="BB84" t="inlineStr">
        <is>
          <t>9780471828143</t>
        </is>
      </c>
      <c r="BC84" t="inlineStr">
        <is>
          <t>32285000860519</t>
        </is>
      </c>
      <c r="BD84" t="inlineStr">
        <is>
          <t>893866489</t>
        </is>
      </c>
    </row>
    <row r="85">
      <c r="A85" t="inlineStr">
        <is>
          <t>No</t>
        </is>
      </c>
      <c r="B85" t="inlineStr">
        <is>
          <t>QD139.T7 P5613</t>
        </is>
      </c>
      <c r="C85" t="inlineStr">
        <is>
          <t>0                      QD 0139000T  7                  P  5613</t>
        </is>
      </c>
      <c r="D85" t="inlineStr">
        <is>
          <t>Modern methods for trace element analysis / Maurice Pinta ; Ronald M. Scott and Krishnaswamy Rengan, technical advisors ; translated from the French by STS, Incorporated.</t>
        </is>
      </c>
      <c r="F85" t="inlineStr">
        <is>
          <t>No</t>
        </is>
      </c>
      <c r="G85" t="inlineStr">
        <is>
          <t>1</t>
        </is>
      </c>
      <c r="H85" t="inlineStr">
        <is>
          <t>No</t>
        </is>
      </c>
      <c r="I85" t="inlineStr">
        <is>
          <t>No</t>
        </is>
      </c>
      <c r="J85" t="inlineStr">
        <is>
          <t>0</t>
        </is>
      </c>
      <c r="K85" t="inlineStr">
        <is>
          <t>Pinta, Maurice.</t>
        </is>
      </c>
      <c r="L85" t="inlineStr">
        <is>
          <t>Ann Arbor, Mich. : Ann Arbor Science, c1978.</t>
        </is>
      </c>
      <c r="M85" t="inlineStr">
        <is>
          <t>1978</t>
        </is>
      </c>
      <c r="O85" t="inlineStr">
        <is>
          <t>eng</t>
        </is>
      </c>
      <c r="P85" t="inlineStr">
        <is>
          <t>miu</t>
        </is>
      </c>
      <c r="R85" t="inlineStr">
        <is>
          <t xml:space="preserve">QD </t>
        </is>
      </c>
      <c r="S85" t="n">
        <v>3</v>
      </c>
      <c r="T85" t="n">
        <v>3</v>
      </c>
      <c r="U85" t="inlineStr">
        <is>
          <t>1993-04-29</t>
        </is>
      </c>
      <c r="V85" t="inlineStr">
        <is>
          <t>1993-04-29</t>
        </is>
      </c>
      <c r="W85" t="inlineStr">
        <is>
          <t>1993-01-25</t>
        </is>
      </c>
      <c r="X85" t="inlineStr">
        <is>
          <t>1993-01-25</t>
        </is>
      </c>
      <c r="Y85" t="n">
        <v>513</v>
      </c>
      <c r="Z85" t="n">
        <v>403</v>
      </c>
      <c r="AA85" t="n">
        <v>405</v>
      </c>
      <c r="AB85" t="n">
        <v>4</v>
      </c>
      <c r="AC85" t="n">
        <v>4</v>
      </c>
      <c r="AD85" t="n">
        <v>12</v>
      </c>
      <c r="AE85" t="n">
        <v>12</v>
      </c>
      <c r="AF85" t="n">
        <v>4</v>
      </c>
      <c r="AG85" t="n">
        <v>4</v>
      </c>
      <c r="AH85" t="n">
        <v>4</v>
      </c>
      <c r="AI85" t="n">
        <v>4</v>
      </c>
      <c r="AJ85" t="n">
        <v>3</v>
      </c>
      <c r="AK85" t="n">
        <v>3</v>
      </c>
      <c r="AL85" t="n">
        <v>3</v>
      </c>
      <c r="AM85" t="n">
        <v>3</v>
      </c>
      <c r="AN85" t="n">
        <v>0</v>
      </c>
      <c r="AO85" t="n">
        <v>0</v>
      </c>
      <c r="AP85" t="inlineStr">
        <is>
          <t>No</t>
        </is>
      </c>
      <c r="AQ85" t="inlineStr">
        <is>
          <t>Yes</t>
        </is>
      </c>
      <c r="AR85">
        <f>HYPERLINK("http://catalog.hathitrust.org/Record/000131093","HathiTrust Record")</f>
        <v/>
      </c>
      <c r="AS85">
        <f>HYPERLINK("https://creighton-primo.hosted.exlibrisgroup.com/primo-explore/search?tab=default_tab&amp;search_scope=EVERYTHING&amp;vid=01CRU&amp;lang=en_US&amp;offset=0&amp;query=any,contains,991004496479702656","Catalog Record")</f>
        <v/>
      </c>
      <c r="AT85">
        <f>HYPERLINK("http://www.worldcat.org/oclc/3702284","WorldCat Record")</f>
        <v/>
      </c>
      <c r="AU85" t="inlineStr">
        <is>
          <t>11655743:eng</t>
        </is>
      </c>
      <c r="AV85" t="inlineStr">
        <is>
          <t>3702284</t>
        </is>
      </c>
      <c r="AW85" t="inlineStr">
        <is>
          <t>991004496479702656</t>
        </is>
      </c>
      <c r="AX85" t="inlineStr">
        <is>
          <t>991004496479702656</t>
        </is>
      </c>
      <c r="AY85" t="inlineStr">
        <is>
          <t>2266584230002656</t>
        </is>
      </c>
      <c r="AZ85" t="inlineStr">
        <is>
          <t>BOOK</t>
        </is>
      </c>
      <c r="BB85" t="inlineStr">
        <is>
          <t>9780250401529</t>
        </is>
      </c>
      <c r="BC85" t="inlineStr">
        <is>
          <t>32285001515526</t>
        </is>
      </c>
      <c r="BD85" t="inlineStr">
        <is>
          <t>893599898</t>
        </is>
      </c>
    </row>
    <row r="86">
      <c r="A86" t="inlineStr">
        <is>
          <t>No</t>
        </is>
      </c>
      <c r="B86" t="inlineStr">
        <is>
          <t>QD14 .W5 1973</t>
        </is>
      </c>
      <c r="C86" t="inlineStr">
        <is>
          <t>0                      QD 0014000W  5           1973</t>
        </is>
      </c>
      <c r="D86" t="inlineStr">
        <is>
          <t>The history of the phlogiston theory / by J. H. White. London, E. Arnold, 1932.</t>
        </is>
      </c>
      <c r="F86" t="inlineStr">
        <is>
          <t>No</t>
        </is>
      </c>
      <c r="G86" t="inlineStr">
        <is>
          <t>1</t>
        </is>
      </c>
      <c r="H86" t="inlineStr">
        <is>
          <t>No</t>
        </is>
      </c>
      <c r="I86" t="inlineStr">
        <is>
          <t>No</t>
        </is>
      </c>
      <c r="J86" t="inlineStr">
        <is>
          <t>0</t>
        </is>
      </c>
      <c r="K86" t="inlineStr">
        <is>
          <t>White, J. H. (John Henry)</t>
        </is>
      </c>
      <c r="L86" t="inlineStr">
        <is>
          <t>[New York : AMS Press, 1973]</t>
        </is>
      </c>
      <c r="M86" t="inlineStr">
        <is>
          <t>1973</t>
        </is>
      </c>
      <c r="O86" t="inlineStr">
        <is>
          <t>eng</t>
        </is>
      </c>
      <c r="P86" t="inlineStr">
        <is>
          <t>nyu</t>
        </is>
      </c>
      <c r="R86" t="inlineStr">
        <is>
          <t xml:space="preserve">QD </t>
        </is>
      </c>
      <c r="S86" t="n">
        <v>3</v>
      </c>
      <c r="T86" t="n">
        <v>3</v>
      </c>
      <c r="U86" t="inlineStr">
        <is>
          <t>2009-12-01</t>
        </is>
      </c>
      <c r="V86" t="inlineStr">
        <is>
          <t>2009-12-01</t>
        </is>
      </c>
      <c r="W86" t="inlineStr">
        <is>
          <t>1999-12-20</t>
        </is>
      </c>
      <c r="X86" t="inlineStr">
        <is>
          <t>1999-12-20</t>
        </is>
      </c>
      <c r="Y86" t="n">
        <v>164</v>
      </c>
      <c r="Z86" t="n">
        <v>143</v>
      </c>
      <c r="AA86" t="n">
        <v>204</v>
      </c>
      <c r="AB86" t="n">
        <v>1</v>
      </c>
      <c r="AC86" t="n">
        <v>1</v>
      </c>
      <c r="AD86" t="n">
        <v>5</v>
      </c>
      <c r="AE86" t="n">
        <v>6</v>
      </c>
      <c r="AF86" t="n">
        <v>2</v>
      </c>
      <c r="AG86" t="n">
        <v>2</v>
      </c>
      <c r="AH86" t="n">
        <v>1</v>
      </c>
      <c r="AI86" t="n">
        <v>1</v>
      </c>
      <c r="AJ86" t="n">
        <v>2</v>
      </c>
      <c r="AK86" t="n">
        <v>3</v>
      </c>
      <c r="AL86" t="n">
        <v>0</v>
      </c>
      <c r="AM86" t="n">
        <v>0</v>
      </c>
      <c r="AN86" t="n">
        <v>0</v>
      </c>
      <c r="AO86" t="n">
        <v>0</v>
      </c>
      <c r="AP86" t="inlineStr">
        <is>
          <t>No</t>
        </is>
      </c>
      <c r="AQ86" t="inlineStr">
        <is>
          <t>Yes</t>
        </is>
      </c>
      <c r="AR86">
        <f>HYPERLINK("http://catalog.hathitrust.org/Record/009518752","HathiTrust Record")</f>
        <v/>
      </c>
      <c r="AS86">
        <f>HYPERLINK("https://creighton-primo.hosted.exlibrisgroup.com/primo-explore/search?tab=default_tab&amp;search_scope=EVERYTHING&amp;vid=01CRU&amp;lang=en_US&amp;offset=0&amp;query=any,contains,991003012529702656","Catalog Record")</f>
        <v/>
      </c>
      <c r="AT86">
        <f>HYPERLINK("http://www.worldcat.org/oclc/579042","WorldCat Record")</f>
        <v/>
      </c>
      <c r="AU86" t="inlineStr">
        <is>
          <t>474880:eng</t>
        </is>
      </c>
      <c r="AV86" t="inlineStr">
        <is>
          <t>579042</t>
        </is>
      </c>
      <c r="AW86" t="inlineStr">
        <is>
          <t>991003012529702656</t>
        </is>
      </c>
      <c r="AX86" t="inlineStr">
        <is>
          <t>991003012529702656</t>
        </is>
      </c>
      <c r="AY86" t="inlineStr">
        <is>
          <t>2255707730002656</t>
        </is>
      </c>
      <c r="AZ86" t="inlineStr">
        <is>
          <t>BOOK</t>
        </is>
      </c>
      <c r="BB86" t="inlineStr">
        <is>
          <t>9780404069308</t>
        </is>
      </c>
      <c r="BC86" t="inlineStr">
        <is>
          <t>32285003635272</t>
        </is>
      </c>
      <c r="BD86" t="inlineStr">
        <is>
          <t>893880718</t>
        </is>
      </c>
    </row>
    <row r="87">
      <c r="A87" t="inlineStr">
        <is>
          <t>No</t>
        </is>
      </c>
      <c r="B87" t="inlineStr">
        <is>
          <t>QD142 .W36 1982, v...</t>
        </is>
      </c>
      <c r="C87" t="inlineStr">
        <is>
          <t>0                      QD 0142000W  36          1982                                        v...</t>
        </is>
      </c>
      <c r="D87" t="inlineStr">
        <is>
          <t>Water analysis / edited by Roger A. Minear, Lawrence H. Keith.</t>
        </is>
      </c>
      <c r="E87" t="inlineStr">
        <is>
          <t>V.3</t>
        </is>
      </c>
      <c r="F87" t="inlineStr">
        <is>
          <t>Yes</t>
        </is>
      </c>
      <c r="G87" t="inlineStr">
        <is>
          <t>1</t>
        </is>
      </c>
      <c r="H87" t="inlineStr">
        <is>
          <t>No</t>
        </is>
      </c>
      <c r="I87" t="inlineStr">
        <is>
          <t>No</t>
        </is>
      </c>
      <c r="J87" t="inlineStr">
        <is>
          <t>0</t>
        </is>
      </c>
      <c r="L87" t="inlineStr">
        <is>
          <t>New York : Academic Press, 1982-</t>
        </is>
      </c>
      <c r="M87" t="inlineStr">
        <is>
          <t>1982</t>
        </is>
      </c>
      <c r="O87" t="inlineStr">
        <is>
          <t>eng</t>
        </is>
      </c>
      <c r="P87" t="inlineStr">
        <is>
          <t>nyu</t>
        </is>
      </c>
      <c r="R87" t="inlineStr">
        <is>
          <t xml:space="preserve">QD </t>
        </is>
      </c>
      <c r="S87" t="n">
        <v>0</v>
      </c>
      <c r="T87" t="n">
        <v>5</v>
      </c>
      <c r="V87" t="inlineStr">
        <is>
          <t>1993-05-27</t>
        </is>
      </c>
      <c r="W87" t="inlineStr">
        <is>
          <t>1992-10-10</t>
        </is>
      </c>
      <c r="X87" t="inlineStr">
        <is>
          <t>1992-10-10</t>
        </is>
      </c>
      <c r="Y87" t="n">
        <v>573</v>
      </c>
      <c r="Z87" t="n">
        <v>463</v>
      </c>
      <c r="AA87" t="n">
        <v>483</v>
      </c>
      <c r="AB87" t="n">
        <v>3</v>
      </c>
      <c r="AC87" t="n">
        <v>3</v>
      </c>
      <c r="AD87" t="n">
        <v>12</v>
      </c>
      <c r="AE87" t="n">
        <v>14</v>
      </c>
      <c r="AF87" t="n">
        <v>3</v>
      </c>
      <c r="AG87" t="n">
        <v>4</v>
      </c>
      <c r="AH87" t="n">
        <v>3</v>
      </c>
      <c r="AI87" t="n">
        <v>4</v>
      </c>
      <c r="AJ87" t="n">
        <v>7</v>
      </c>
      <c r="AK87" t="n">
        <v>7</v>
      </c>
      <c r="AL87" t="n">
        <v>2</v>
      </c>
      <c r="AM87" t="n">
        <v>2</v>
      </c>
      <c r="AN87" t="n">
        <v>0</v>
      </c>
      <c r="AO87" t="n">
        <v>0</v>
      </c>
      <c r="AP87" t="inlineStr">
        <is>
          <t>No</t>
        </is>
      </c>
      <c r="AQ87" t="inlineStr">
        <is>
          <t>Yes</t>
        </is>
      </c>
      <c r="AR87">
        <f>HYPERLINK("http://catalog.hathitrust.org/Record/000105154","HathiTrust Record")</f>
        <v/>
      </c>
      <c r="AS87">
        <f>HYPERLINK("https://creighton-primo.hosted.exlibrisgroup.com/primo-explore/search?tab=default_tab&amp;search_scope=EVERYTHING&amp;vid=01CRU&amp;lang=en_US&amp;offset=0&amp;query=any,contains,991005216619702656","Catalog Record")</f>
        <v/>
      </c>
      <c r="AT87">
        <f>HYPERLINK("http://www.worldcat.org/oclc/8195048","WorldCat Record")</f>
        <v/>
      </c>
      <c r="AU87" t="inlineStr">
        <is>
          <t>10792849747:eng</t>
        </is>
      </c>
      <c r="AV87" t="inlineStr">
        <is>
          <t>8195048</t>
        </is>
      </c>
      <c r="AW87" t="inlineStr">
        <is>
          <t>991005216619702656</t>
        </is>
      </c>
      <c r="AX87" t="inlineStr">
        <is>
          <t>991005216619702656</t>
        </is>
      </c>
      <c r="AY87" t="inlineStr">
        <is>
          <t>2268174850002656</t>
        </is>
      </c>
      <c r="AZ87" t="inlineStr">
        <is>
          <t>BOOK</t>
        </is>
      </c>
      <c r="BB87" t="inlineStr">
        <is>
          <t>9780124983014</t>
        </is>
      </c>
      <c r="BC87" t="inlineStr">
        <is>
          <t>32285001346278</t>
        </is>
      </c>
      <c r="BD87" t="inlineStr">
        <is>
          <t>893600840</t>
        </is>
      </c>
    </row>
    <row r="88">
      <c r="A88" t="inlineStr">
        <is>
          <t>No</t>
        </is>
      </c>
      <c r="B88" t="inlineStr">
        <is>
          <t>QD142 .W36 1982, v...</t>
        </is>
      </c>
      <c r="C88" t="inlineStr">
        <is>
          <t>0                      QD 0142000W  36          1982                                        v...</t>
        </is>
      </c>
      <c r="D88" t="inlineStr">
        <is>
          <t>Water analysis / edited by Roger A. Minear, Lawrence H. Keith.</t>
        </is>
      </c>
      <c r="E88" t="inlineStr">
        <is>
          <t>V.2</t>
        </is>
      </c>
      <c r="F88" t="inlineStr">
        <is>
          <t>Yes</t>
        </is>
      </c>
      <c r="G88" t="inlineStr">
        <is>
          <t>1</t>
        </is>
      </c>
      <c r="H88" t="inlineStr">
        <is>
          <t>No</t>
        </is>
      </c>
      <c r="I88" t="inlineStr">
        <is>
          <t>No</t>
        </is>
      </c>
      <c r="J88" t="inlineStr">
        <is>
          <t>0</t>
        </is>
      </c>
      <c r="L88" t="inlineStr">
        <is>
          <t>New York : Academic Press, 1982-</t>
        </is>
      </c>
      <c r="M88" t="inlineStr">
        <is>
          <t>1982</t>
        </is>
      </c>
      <c r="O88" t="inlineStr">
        <is>
          <t>eng</t>
        </is>
      </c>
      <c r="P88" t="inlineStr">
        <is>
          <t>nyu</t>
        </is>
      </c>
      <c r="R88" t="inlineStr">
        <is>
          <t xml:space="preserve">QD </t>
        </is>
      </c>
      <c r="S88" t="n">
        <v>5</v>
      </c>
      <c r="T88" t="n">
        <v>5</v>
      </c>
      <c r="U88" t="inlineStr">
        <is>
          <t>1993-05-27</t>
        </is>
      </c>
      <c r="V88" t="inlineStr">
        <is>
          <t>1993-05-27</t>
        </is>
      </c>
      <c r="W88" t="inlineStr">
        <is>
          <t>1991-11-13</t>
        </is>
      </c>
      <c r="X88" t="inlineStr">
        <is>
          <t>1992-10-10</t>
        </is>
      </c>
      <c r="Y88" t="n">
        <v>573</v>
      </c>
      <c r="Z88" t="n">
        <v>463</v>
      </c>
      <c r="AA88" t="n">
        <v>483</v>
      </c>
      <c r="AB88" t="n">
        <v>3</v>
      </c>
      <c r="AC88" t="n">
        <v>3</v>
      </c>
      <c r="AD88" t="n">
        <v>12</v>
      </c>
      <c r="AE88" t="n">
        <v>14</v>
      </c>
      <c r="AF88" t="n">
        <v>3</v>
      </c>
      <c r="AG88" t="n">
        <v>4</v>
      </c>
      <c r="AH88" t="n">
        <v>3</v>
      </c>
      <c r="AI88" t="n">
        <v>4</v>
      </c>
      <c r="AJ88" t="n">
        <v>7</v>
      </c>
      <c r="AK88" t="n">
        <v>7</v>
      </c>
      <c r="AL88" t="n">
        <v>2</v>
      </c>
      <c r="AM88" t="n">
        <v>2</v>
      </c>
      <c r="AN88" t="n">
        <v>0</v>
      </c>
      <c r="AO88" t="n">
        <v>0</v>
      </c>
      <c r="AP88" t="inlineStr">
        <is>
          <t>No</t>
        </is>
      </c>
      <c r="AQ88" t="inlineStr">
        <is>
          <t>Yes</t>
        </is>
      </c>
      <c r="AR88">
        <f>HYPERLINK("http://catalog.hathitrust.org/Record/000105154","HathiTrust Record")</f>
        <v/>
      </c>
      <c r="AS88">
        <f>HYPERLINK("https://creighton-primo.hosted.exlibrisgroup.com/primo-explore/search?tab=default_tab&amp;search_scope=EVERYTHING&amp;vid=01CRU&amp;lang=en_US&amp;offset=0&amp;query=any,contains,991005216619702656","Catalog Record")</f>
        <v/>
      </c>
      <c r="AT88">
        <f>HYPERLINK("http://www.worldcat.org/oclc/8195048","WorldCat Record")</f>
        <v/>
      </c>
      <c r="AU88" t="inlineStr">
        <is>
          <t>10792849747:eng</t>
        </is>
      </c>
      <c r="AV88" t="inlineStr">
        <is>
          <t>8195048</t>
        </is>
      </c>
      <c r="AW88" t="inlineStr">
        <is>
          <t>991005216619702656</t>
        </is>
      </c>
      <c r="AX88" t="inlineStr">
        <is>
          <t>991005216619702656</t>
        </is>
      </c>
      <c r="AY88" t="inlineStr">
        <is>
          <t>2268174850002656</t>
        </is>
      </c>
      <c r="AZ88" t="inlineStr">
        <is>
          <t>BOOK</t>
        </is>
      </c>
      <c r="BB88" t="inlineStr">
        <is>
          <t>9780124983014</t>
        </is>
      </c>
      <c r="BC88" t="inlineStr">
        <is>
          <t>32285000824390</t>
        </is>
      </c>
      <c r="BD88" t="inlineStr">
        <is>
          <t>893594683</t>
        </is>
      </c>
    </row>
    <row r="89">
      <c r="A89" t="inlineStr">
        <is>
          <t>No</t>
        </is>
      </c>
      <c r="B89" t="inlineStr">
        <is>
          <t>QD142 .W36 1982, v...</t>
        </is>
      </c>
      <c r="C89" t="inlineStr">
        <is>
          <t>0                      QD 0142000W  36          1982                                        v...</t>
        </is>
      </c>
      <c r="D89" t="inlineStr">
        <is>
          <t>Water analysis / edited by Roger A. Minear, Lawrence H. Keith.</t>
        </is>
      </c>
      <c r="E89" t="inlineStr">
        <is>
          <t>V.1</t>
        </is>
      </c>
      <c r="F89" t="inlineStr">
        <is>
          <t>Yes</t>
        </is>
      </c>
      <c r="G89" t="inlineStr">
        <is>
          <t>1</t>
        </is>
      </c>
      <c r="H89" t="inlineStr">
        <is>
          <t>No</t>
        </is>
      </c>
      <c r="I89" t="inlineStr">
        <is>
          <t>No</t>
        </is>
      </c>
      <c r="J89" t="inlineStr">
        <is>
          <t>0</t>
        </is>
      </c>
      <c r="L89" t="inlineStr">
        <is>
          <t>New York : Academic Press, 1982-</t>
        </is>
      </c>
      <c r="M89" t="inlineStr">
        <is>
          <t>1982</t>
        </is>
      </c>
      <c r="O89" t="inlineStr">
        <is>
          <t>eng</t>
        </is>
      </c>
      <c r="P89" t="inlineStr">
        <is>
          <t>nyu</t>
        </is>
      </c>
      <c r="R89" t="inlineStr">
        <is>
          <t xml:space="preserve">QD </t>
        </is>
      </c>
      <c r="S89" t="n">
        <v>0</v>
      </c>
      <c r="T89" t="n">
        <v>5</v>
      </c>
      <c r="V89" t="inlineStr">
        <is>
          <t>1993-05-27</t>
        </is>
      </c>
      <c r="W89" t="inlineStr">
        <is>
          <t>1991-11-13</t>
        </is>
      </c>
      <c r="X89" t="inlineStr">
        <is>
          <t>1992-10-10</t>
        </is>
      </c>
      <c r="Y89" t="n">
        <v>573</v>
      </c>
      <c r="Z89" t="n">
        <v>463</v>
      </c>
      <c r="AA89" t="n">
        <v>483</v>
      </c>
      <c r="AB89" t="n">
        <v>3</v>
      </c>
      <c r="AC89" t="n">
        <v>3</v>
      </c>
      <c r="AD89" t="n">
        <v>12</v>
      </c>
      <c r="AE89" t="n">
        <v>14</v>
      </c>
      <c r="AF89" t="n">
        <v>3</v>
      </c>
      <c r="AG89" t="n">
        <v>4</v>
      </c>
      <c r="AH89" t="n">
        <v>3</v>
      </c>
      <c r="AI89" t="n">
        <v>4</v>
      </c>
      <c r="AJ89" t="n">
        <v>7</v>
      </c>
      <c r="AK89" t="n">
        <v>7</v>
      </c>
      <c r="AL89" t="n">
        <v>2</v>
      </c>
      <c r="AM89" t="n">
        <v>2</v>
      </c>
      <c r="AN89" t="n">
        <v>0</v>
      </c>
      <c r="AO89" t="n">
        <v>0</v>
      </c>
      <c r="AP89" t="inlineStr">
        <is>
          <t>No</t>
        </is>
      </c>
      <c r="AQ89" t="inlineStr">
        <is>
          <t>Yes</t>
        </is>
      </c>
      <c r="AR89">
        <f>HYPERLINK("http://catalog.hathitrust.org/Record/000105154","HathiTrust Record")</f>
        <v/>
      </c>
      <c r="AS89">
        <f>HYPERLINK("https://creighton-primo.hosted.exlibrisgroup.com/primo-explore/search?tab=default_tab&amp;search_scope=EVERYTHING&amp;vid=01CRU&amp;lang=en_US&amp;offset=0&amp;query=any,contains,991005216619702656","Catalog Record")</f>
        <v/>
      </c>
      <c r="AT89">
        <f>HYPERLINK("http://www.worldcat.org/oclc/8195048","WorldCat Record")</f>
        <v/>
      </c>
      <c r="AU89" t="inlineStr">
        <is>
          <t>10792849747:eng</t>
        </is>
      </c>
      <c r="AV89" t="inlineStr">
        <is>
          <t>8195048</t>
        </is>
      </c>
      <c r="AW89" t="inlineStr">
        <is>
          <t>991005216619702656</t>
        </is>
      </c>
      <c r="AX89" t="inlineStr">
        <is>
          <t>991005216619702656</t>
        </is>
      </c>
      <c r="AY89" t="inlineStr">
        <is>
          <t>2268174850002656</t>
        </is>
      </c>
      <c r="AZ89" t="inlineStr">
        <is>
          <t>BOOK</t>
        </is>
      </c>
      <c r="BB89" t="inlineStr">
        <is>
          <t>9780124983014</t>
        </is>
      </c>
      <c r="BC89" t="inlineStr">
        <is>
          <t>32285000824382</t>
        </is>
      </c>
      <c r="BD89" t="inlineStr">
        <is>
          <t>893600839</t>
        </is>
      </c>
    </row>
    <row r="90">
      <c r="A90" t="inlineStr">
        <is>
          <t>No</t>
        </is>
      </c>
      <c r="B90" t="inlineStr">
        <is>
          <t>QD15 .H37</t>
        </is>
      </c>
      <c r="C90" t="inlineStr">
        <is>
          <t>0                      QD 0015000H  37</t>
        </is>
      </c>
      <c r="D90" t="inlineStr">
        <is>
          <t>Studies in the history of chemistry.</t>
        </is>
      </c>
      <c r="F90" t="inlineStr">
        <is>
          <t>No</t>
        </is>
      </c>
      <c r="G90" t="inlineStr">
        <is>
          <t>1</t>
        </is>
      </c>
      <c r="H90" t="inlineStr">
        <is>
          <t>No</t>
        </is>
      </c>
      <c r="I90" t="inlineStr">
        <is>
          <t>No</t>
        </is>
      </c>
      <c r="J90" t="inlineStr">
        <is>
          <t>0</t>
        </is>
      </c>
      <c r="K90" t="inlineStr">
        <is>
          <t>Hartley, Harold, 1878-1972.</t>
        </is>
      </c>
      <c r="L90" t="inlineStr">
        <is>
          <t>Oxford : Clarendon Press, 1971.</t>
        </is>
      </c>
      <c r="M90" t="inlineStr">
        <is>
          <t>1971</t>
        </is>
      </c>
      <c r="O90" t="inlineStr">
        <is>
          <t>eng</t>
        </is>
      </c>
      <c r="P90" t="inlineStr">
        <is>
          <t>enk</t>
        </is>
      </c>
      <c r="R90" t="inlineStr">
        <is>
          <t xml:space="preserve">QD </t>
        </is>
      </c>
      <c r="S90" t="n">
        <v>2</v>
      </c>
      <c r="T90" t="n">
        <v>2</v>
      </c>
      <c r="U90" t="inlineStr">
        <is>
          <t>1994-11-27</t>
        </is>
      </c>
      <c r="V90" t="inlineStr">
        <is>
          <t>1994-11-27</t>
        </is>
      </c>
      <c r="W90" t="inlineStr">
        <is>
          <t>1994-11-10</t>
        </is>
      </c>
      <c r="X90" t="inlineStr">
        <is>
          <t>1994-11-10</t>
        </is>
      </c>
      <c r="Y90" t="n">
        <v>533</v>
      </c>
      <c r="Z90" t="n">
        <v>387</v>
      </c>
      <c r="AA90" t="n">
        <v>388</v>
      </c>
      <c r="AB90" t="n">
        <v>3</v>
      </c>
      <c r="AC90" t="n">
        <v>3</v>
      </c>
      <c r="AD90" t="n">
        <v>15</v>
      </c>
      <c r="AE90" t="n">
        <v>15</v>
      </c>
      <c r="AF90" t="n">
        <v>5</v>
      </c>
      <c r="AG90" t="n">
        <v>5</v>
      </c>
      <c r="AH90" t="n">
        <v>4</v>
      </c>
      <c r="AI90" t="n">
        <v>4</v>
      </c>
      <c r="AJ90" t="n">
        <v>7</v>
      </c>
      <c r="AK90" t="n">
        <v>7</v>
      </c>
      <c r="AL90" t="n">
        <v>2</v>
      </c>
      <c r="AM90" t="n">
        <v>2</v>
      </c>
      <c r="AN90" t="n">
        <v>0</v>
      </c>
      <c r="AO90" t="n">
        <v>0</v>
      </c>
      <c r="AP90" t="inlineStr">
        <is>
          <t>No</t>
        </is>
      </c>
      <c r="AQ90" t="inlineStr">
        <is>
          <t>Yes</t>
        </is>
      </c>
      <c r="AR90">
        <f>HYPERLINK("http://catalog.hathitrust.org/Record/001486476","HathiTrust Record")</f>
        <v/>
      </c>
      <c r="AS90">
        <f>HYPERLINK("https://creighton-primo.hosted.exlibrisgroup.com/primo-explore/search?tab=default_tab&amp;search_scope=EVERYTHING&amp;vid=01CRU&amp;lang=en_US&amp;offset=0&amp;query=any,contains,991000826689702656","Catalog Record")</f>
        <v/>
      </c>
      <c r="AT90">
        <f>HYPERLINK("http://www.worldcat.org/oclc/146336","WorldCat Record")</f>
        <v/>
      </c>
      <c r="AU90" t="inlineStr">
        <is>
          <t>655192063:eng</t>
        </is>
      </c>
      <c r="AV90" t="inlineStr">
        <is>
          <t>146336</t>
        </is>
      </c>
      <c r="AW90" t="inlineStr">
        <is>
          <t>991000826689702656</t>
        </is>
      </c>
      <c r="AX90" t="inlineStr">
        <is>
          <t>991000826689702656</t>
        </is>
      </c>
      <c r="AY90" t="inlineStr">
        <is>
          <t>2256383160002656</t>
        </is>
      </c>
      <c r="AZ90" t="inlineStr">
        <is>
          <t>BOOK</t>
        </is>
      </c>
      <c r="BB90" t="inlineStr">
        <is>
          <t>9780198581307</t>
        </is>
      </c>
      <c r="BC90" t="inlineStr">
        <is>
          <t>32285001965036</t>
        </is>
      </c>
      <c r="BD90" t="inlineStr">
        <is>
          <t>893225348</t>
        </is>
      </c>
    </row>
    <row r="91">
      <c r="A91" t="inlineStr">
        <is>
          <t>No</t>
        </is>
      </c>
      <c r="B91" t="inlineStr">
        <is>
          <t>QD15 .J75</t>
        </is>
      </c>
      <c r="C91" t="inlineStr">
        <is>
          <t>0                      QD 0015000J  75</t>
        </is>
      </c>
      <c r="D91" t="inlineStr">
        <is>
          <t>Selected readings in the history of chemistry. Compiled by Aaron J. Ihde and William F. Kieffer.</t>
        </is>
      </c>
      <c r="F91" t="inlineStr">
        <is>
          <t>No</t>
        </is>
      </c>
      <c r="G91" t="inlineStr">
        <is>
          <t>1</t>
        </is>
      </c>
      <c r="H91" t="inlineStr">
        <is>
          <t>No</t>
        </is>
      </c>
      <c r="I91" t="inlineStr">
        <is>
          <t>No</t>
        </is>
      </c>
      <c r="J91" t="inlineStr">
        <is>
          <t>0</t>
        </is>
      </c>
      <c r="K91" t="inlineStr">
        <is>
          <t>Journal of chemical education.</t>
        </is>
      </c>
      <c r="L91" t="inlineStr">
        <is>
          <t>[Easton, Pa., Division of Chemical Education, American Chemical Society] 1965.</t>
        </is>
      </c>
      <c r="M91" t="inlineStr">
        <is>
          <t>1965</t>
        </is>
      </c>
      <c r="O91" t="inlineStr">
        <is>
          <t>eng</t>
        </is>
      </c>
      <c r="P91" t="inlineStr">
        <is>
          <t>pau</t>
        </is>
      </c>
      <c r="R91" t="inlineStr">
        <is>
          <t xml:space="preserve">QD </t>
        </is>
      </c>
      <c r="S91" t="n">
        <v>1</v>
      </c>
      <c r="T91" t="n">
        <v>1</v>
      </c>
      <c r="U91" t="inlineStr">
        <is>
          <t>1992-10-30</t>
        </is>
      </c>
      <c r="V91" t="inlineStr">
        <is>
          <t>1992-10-30</t>
        </is>
      </c>
      <c r="W91" t="inlineStr">
        <is>
          <t>1992-02-18</t>
        </is>
      </c>
      <c r="X91" t="inlineStr">
        <is>
          <t>1992-02-18</t>
        </is>
      </c>
      <c r="Y91" t="n">
        <v>377</v>
      </c>
      <c r="Z91" t="n">
        <v>321</v>
      </c>
      <c r="AA91" t="n">
        <v>322</v>
      </c>
      <c r="AB91" t="n">
        <v>5</v>
      </c>
      <c r="AC91" t="n">
        <v>5</v>
      </c>
      <c r="AD91" t="n">
        <v>15</v>
      </c>
      <c r="AE91" t="n">
        <v>15</v>
      </c>
      <c r="AF91" t="n">
        <v>2</v>
      </c>
      <c r="AG91" t="n">
        <v>2</v>
      </c>
      <c r="AH91" t="n">
        <v>4</v>
      </c>
      <c r="AI91" t="n">
        <v>4</v>
      </c>
      <c r="AJ91" t="n">
        <v>9</v>
      </c>
      <c r="AK91" t="n">
        <v>9</v>
      </c>
      <c r="AL91" t="n">
        <v>4</v>
      </c>
      <c r="AM91" t="n">
        <v>4</v>
      </c>
      <c r="AN91" t="n">
        <v>0</v>
      </c>
      <c r="AO91" t="n">
        <v>0</v>
      </c>
      <c r="AP91" t="inlineStr">
        <is>
          <t>No</t>
        </is>
      </c>
      <c r="AQ91" t="inlineStr">
        <is>
          <t>Yes</t>
        </is>
      </c>
      <c r="AR91">
        <f>HYPERLINK("http://catalog.hathitrust.org/Record/009463771","HathiTrust Record")</f>
        <v/>
      </c>
      <c r="AS91">
        <f>HYPERLINK("https://creighton-primo.hosted.exlibrisgroup.com/primo-explore/search?tab=default_tab&amp;search_scope=EVERYTHING&amp;vid=01CRU&amp;lang=en_US&amp;offset=0&amp;query=any,contains,991002049889702656","Catalog Record")</f>
        <v/>
      </c>
      <c r="AT91">
        <f>HYPERLINK("http://www.worldcat.org/oclc/261544","WorldCat Record")</f>
        <v/>
      </c>
      <c r="AU91" t="inlineStr">
        <is>
          <t>373986740:eng</t>
        </is>
      </c>
      <c r="AV91" t="inlineStr">
        <is>
          <t>261544</t>
        </is>
      </c>
      <c r="AW91" t="inlineStr">
        <is>
          <t>991002049889702656</t>
        </is>
      </c>
      <c r="AX91" t="inlineStr">
        <is>
          <t>991002049889702656</t>
        </is>
      </c>
      <c r="AY91" t="inlineStr">
        <is>
          <t>2263077640002656</t>
        </is>
      </c>
      <c r="AZ91" t="inlineStr">
        <is>
          <t>BOOK</t>
        </is>
      </c>
      <c r="BC91" t="inlineStr">
        <is>
          <t>32285000947704</t>
        </is>
      </c>
      <c r="BD91" t="inlineStr">
        <is>
          <t>893529465</t>
        </is>
      </c>
    </row>
    <row r="92">
      <c r="A92" t="inlineStr">
        <is>
          <t>No</t>
        </is>
      </c>
      <c r="B92" t="inlineStr">
        <is>
          <t>QD151 .G52</t>
        </is>
      </c>
      <c r="C92" t="inlineStr">
        <is>
          <t>0                      QD 0151000G  52</t>
        </is>
      </c>
      <c r="D92" t="inlineStr">
        <is>
          <t>Gmelins Handbuch der anorganischen chemie.</t>
        </is>
      </c>
      <c r="F92" t="inlineStr">
        <is>
          <t>Yes</t>
        </is>
      </c>
      <c r="G92" t="inlineStr">
        <is>
          <t>1</t>
        </is>
      </c>
      <c r="H92" t="inlineStr">
        <is>
          <t>Yes</t>
        </is>
      </c>
      <c r="I92" t="inlineStr">
        <is>
          <t>No</t>
        </is>
      </c>
      <c r="J92" t="inlineStr">
        <is>
          <t>0</t>
        </is>
      </c>
      <c r="L92" t="inlineStr">
        <is>
          <t>Leipzig-Berlin, Verlag Chemie g.m.b.h., 1924-</t>
        </is>
      </c>
      <c r="M92" t="inlineStr">
        <is>
          <t>1924</t>
        </is>
      </c>
      <c r="N92" t="inlineStr">
        <is>
          <t>8. aufl. Hrsg. von der Deutschen chemischen gesellschaft, bearb. von R.J. Meyer, unter beratender mitwirkung von Franz Peters.</t>
        </is>
      </c>
      <c r="O92" t="inlineStr">
        <is>
          <t>ger</t>
        </is>
      </c>
      <c r="P92" t="inlineStr">
        <is>
          <t xml:space="preserve">xx </t>
        </is>
      </c>
      <c r="R92" t="inlineStr">
        <is>
          <t xml:space="preserve">QD </t>
        </is>
      </c>
      <c r="S92" t="n">
        <v>1</v>
      </c>
      <c r="T92" t="n">
        <v>324</v>
      </c>
      <c r="U92" t="inlineStr">
        <is>
          <t>1998-07-27</t>
        </is>
      </c>
      <c r="V92" t="inlineStr">
        <is>
          <t>1998-07-28</t>
        </is>
      </c>
      <c r="W92" t="inlineStr">
        <is>
          <t>1997-06-02</t>
        </is>
      </c>
      <c r="X92" t="inlineStr">
        <is>
          <t>1998-06-24</t>
        </is>
      </c>
      <c r="Y92" t="n">
        <v>259</v>
      </c>
      <c r="Z92" t="n">
        <v>221</v>
      </c>
      <c r="AA92" t="n">
        <v>223</v>
      </c>
      <c r="AB92" t="n">
        <v>2</v>
      </c>
      <c r="AC92" t="n">
        <v>2</v>
      </c>
      <c r="AD92" t="n">
        <v>10</v>
      </c>
      <c r="AE92" t="n">
        <v>10</v>
      </c>
      <c r="AF92" t="n">
        <v>2</v>
      </c>
      <c r="AG92" t="n">
        <v>2</v>
      </c>
      <c r="AH92" t="n">
        <v>2</v>
      </c>
      <c r="AI92" t="n">
        <v>2</v>
      </c>
      <c r="AJ92" t="n">
        <v>8</v>
      </c>
      <c r="AK92" t="n">
        <v>8</v>
      </c>
      <c r="AL92" t="n">
        <v>1</v>
      </c>
      <c r="AM92" t="n">
        <v>1</v>
      </c>
      <c r="AN92" t="n">
        <v>0</v>
      </c>
      <c r="AO92" t="n">
        <v>0</v>
      </c>
      <c r="AP92" t="inlineStr">
        <is>
          <t>No</t>
        </is>
      </c>
      <c r="AQ92" t="inlineStr">
        <is>
          <t>Yes</t>
        </is>
      </c>
      <c r="AR92">
        <f>HYPERLINK("http://catalog.hathitrust.org/Record/009932175","HathiTrust Record")</f>
        <v/>
      </c>
      <c r="AS92">
        <f>HYPERLINK("https://creighton-primo.hosted.exlibrisgroup.com/primo-explore/search?tab=default_tab&amp;search_scope=EVERYTHING&amp;vid=01CRU&amp;lang=en_US&amp;offset=0&amp;query=any,contains,991005356889702656","Catalog Record")</f>
        <v/>
      </c>
      <c r="AT92">
        <f>HYPERLINK("http://www.worldcat.org/oclc/802031","WorldCat Record")</f>
        <v/>
      </c>
      <c r="AU92" t="inlineStr">
        <is>
          <t>4924721893:ger</t>
        </is>
      </c>
      <c r="AV92" t="inlineStr">
        <is>
          <t>802031</t>
        </is>
      </c>
      <c r="AW92" t="inlineStr">
        <is>
          <t>991005356889702656</t>
        </is>
      </c>
      <c r="AX92" t="inlineStr">
        <is>
          <t>991005356889702656</t>
        </is>
      </c>
      <c r="AY92" t="inlineStr">
        <is>
          <t>2270552310002656</t>
        </is>
      </c>
      <c r="AZ92" t="inlineStr">
        <is>
          <t>BOOK</t>
        </is>
      </c>
      <c r="BC92" t="inlineStr">
        <is>
          <t>32285002779105</t>
        </is>
      </c>
      <c r="BD92" t="inlineStr">
        <is>
          <t>893520934</t>
        </is>
      </c>
    </row>
    <row r="93">
      <c r="A93" t="inlineStr">
        <is>
          <t>No</t>
        </is>
      </c>
      <c r="B93" t="inlineStr">
        <is>
          <t>QD151 .G52 NO. 10 PT. A SECT. 1</t>
        </is>
      </c>
      <c r="C93" t="inlineStr">
        <is>
          <t>0                      QD 0151000G  52                                                      NO. 10 PT. A SECT. 1</t>
        </is>
      </c>
      <c r="D93" t="inlineStr">
        <is>
          <t>Gmelins Handbuch der anorganischen chemie.</t>
        </is>
      </c>
      <c r="E93" t="inlineStr">
        <is>
          <t>NO. 10 PT. A SECT. 1*</t>
        </is>
      </c>
      <c r="F93" t="inlineStr">
        <is>
          <t>Yes</t>
        </is>
      </c>
      <c r="G93" t="inlineStr">
        <is>
          <t>1</t>
        </is>
      </c>
      <c r="H93" t="inlineStr">
        <is>
          <t>No</t>
        </is>
      </c>
      <c r="I93" t="inlineStr">
        <is>
          <t>No</t>
        </is>
      </c>
      <c r="J93" t="inlineStr">
        <is>
          <t>0</t>
        </is>
      </c>
      <c r="L93" t="inlineStr">
        <is>
          <t>Leipzig-Berlin, Verlag Chemie g.m.b.h., 1924-</t>
        </is>
      </c>
      <c r="M93" t="inlineStr">
        <is>
          <t>1924</t>
        </is>
      </c>
      <c r="N93" t="inlineStr">
        <is>
          <t>8. aufl. Hrsg. von der Deutschen chemischen gesellschaft, bearb. von R.J. Meyer, unter beratender mitwirkung von Franz Peters.</t>
        </is>
      </c>
      <c r="O93" t="inlineStr">
        <is>
          <t>ger</t>
        </is>
      </c>
      <c r="P93" t="inlineStr">
        <is>
          <t xml:space="preserve">xx </t>
        </is>
      </c>
      <c r="R93" t="inlineStr">
        <is>
          <t xml:space="preserve">QD </t>
        </is>
      </c>
      <c r="S93" t="n">
        <v>1</v>
      </c>
      <c r="T93" t="n">
        <v>324</v>
      </c>
      <c r="U93" t="inlineStr">
        <is>
          <t>1998-07-27</t>
        </is>
      </c>
      <c r="V93" t="inlineStr">
        <is>
          <t>1998-07-28</t>
        </is>
      </c>
      <c r="W93" t="inlineStr">
        <is>
          <t>1997-06-02</t>
        </is>
      </c>
      <c r="X93" t="inlineStr">
        <is>
          <t>1998-06-24</t>
        </is>
      </c>
      <c r="Y93" t="n">
        <v>259</v>
      </c>
      <c r="Z93" t="n">
        <v>221</v>
      </c>
      <c r="AA93" t="n">
        <v>223</v>
      </c>
      <c r="AB93" t="n">
        <v>2</v>
      </c>
      <c r="AC93" t="n">
        <v>2</v>
      </c>
      <c r="AD93" t="n">
        <v>10</v>
      </c>
      <c r="AE93" t="n">
        <v>10</v>
      </c>
      <c r="AF93" t="n">
        <v>2</v>
      </c>
      <c r="AG93" t="n">
        <v>2</v>
      </c>
      <c r="AH93" t="n">
        <v>2</v>
      </c>
      <c r="AI93" t="n">
        <v>2</v>
      </c>
      <c r="AJ93" t="n">
        <v>8</v>
      </c>
      <c r="AK93" t="n">
        <v>8</v>
      </c>
      <c r="AL93" t="n">
        <v>1</v>
      </c>
      <c r="AM93" t="n">
        <v>1</v>
      </c>
      <c r="AN93" t="n">
        <v>0</v>
      </c>
      <c r="AO93" t="n">
        <v>0</v>
      </c>
      <c r="AP93" t="inlineStr">
        <is>
          <t>No</t>
        </is>
      </c>
      <c r="AQ93" t="inlineStr">
        <is>
          <t>Yes</t>
        </is>
      </c>
      <c r="AR93">
        <f>HYPERLINK("http://catalog.hathitrust.org/Record/009932175","HathiTrust Record")</f>
        <v/>
      </c>
      <c r="AS93">
        <f>HYPERLINK("https://creighton-primo.hosted.exlibrisgroup.com/primo-explore/search?tab=default_tab&amp;search_scope=EVERYTHING&amp;vid=01CRU&amp;lang=en_US&amp;offset=0&amp;query=any,contains,991005356889702656","Catalog Record")</f>
        <v/>
      </c>
      <c r="AT93">
        <f>HYPERLINK("http://www.worldcat.org/oclc/802031","WorldCat Record")</f>
        <v/>
      </c>
      <c r="AU93" t="inlineStr">
        <is>
          <t>4924721893:ger</t>
        </is>
      </c>
      <c r="AV93" t="inlineStr">
        <is>
          <t>802031</t>
        </is>
      </c>
      <c r="AW93" t="inlineStr">
        <is>
          <t>991005356889702656</t>
        </is>
      </c>
      <c r="AX93" t="inlineStr">
        <is>
          <t>991005356889702656</t>
        </is>
      </c>
      <c r="AY93" t="inlineStr">
        <is>
          <t>2270552310002656</t>
        </is>
      </c>
      <c r="AZ93" t="inlineStr">
        <is>
          <t>BOOK</t>
        </is>
      </c>
      <c r="BC93" t="inlineStr">
        <is>
          <t>32285002779428</t>
        </is>
      </c>
      <c r="BD93" t="inlineStr">
        <is>
          <t>893533609</t>
        </is>
      </c>
    </row>
    <row r="94">
      <c r="A94" t="inlineStr">
        <is>
          <t>No</t>
        </is>
      </c>
      <c r="B94" t="inlineStr">
        <is>
          <t>QD151 .G52 NO. 10 PT. A SECT. 3</t>
        </is>
      </c>
      <c r="C94" t="inlineStr">
        <is>
          <t>0                      QD 0151000G  52                                                      NO. 10 PT. A SECT. 3</t>
        </is>
      </c>
      <c r="D94" t="inlineStr">
        <is>
          <t>Gmelins Handbuch der anorganischen chemie.</t>
        </is>
      </c>
      <c r="E94" t="inlineStr">
        <is>
          <t>NO. 10 PT. A SECT. 3*</t>
        </is>
      </c>
      <c r="F94" t="inlineStr">
        <is>
          <t>Yes</t>
        </is>
      </c>
      <c r="G94" t="inlineStr">
        <is>
          <t>1</t>
        </is>
      </c>
      <c r="H94" t="inlineStr">
        <is>
          <t>No</t>
        </is>
      </c>
      <c r="I94" t="inlineStr">
        <is>
          <t>No</t>
        </is>
      </c>
      <c r="J94" t="inlineStr">
        <is>
          <t>0</t>
        </is>
      </c>
      <c r="L94" t="inlineStr">
        <is>
          <t>Leipzig-Berlin, Verlag Chemie g.m.b.h., 1924-</t>
        </is>
      </c>
      <c r="M94" t="inlineStr">
        <is>
          <t>1924</t>
        </is>
      </c>
      <c r="N94" t="inlineStr">
        <is>
          <t>8. aufl. Hrsg. von der Deutschen chemischen gesellschaft, bearb. von R.J. Meyer, unter beratender mitwirkung von Franz Peters.</t>
        </is>
      </c>
      <c r="O94" t="inlineStr">
        <is>
          <t>ger</t>
        </is>
      </c>
      <c r="P94" t="inlineStr">
        <is>
          <t xml:space="preserve">xx </t>
        </is>
      </c>
      <c r="R94" t="inlineStr">
        <is>
          <t xml:space="preserve">QD </t>
        </is>
      </c>
      <c r="S94" t="n">
        <v>1</v>
      </c>
      <c r="T94" t="n">
        <v>324</v>
      </c>
      <c r="U94" t="inlineStr">
        <is>
          <t>1998-07-27</t>
        </is>
      </c>
      <c r="V94" t="inlineStr">
        <is>
          <t>1998-07-28</t>
        </is>
      </c>
      <c r="W94" t="inlineStr">
        <is>
          <t>1997-06-02</t>
        </is>
      </c>
      <c r="X94" t="inlineStr">
        <is>
          <t>1998-06-24</t>
        </is>
      </c>
      <c r="Y94" t="n">
        <v>259</v>
      </c>
      <c r="Z94" t="n">
        <v>221</v>
      </c>
      <c r="AA94" t="n">
        <v>223</v>
      </c>
      <c r="AB94" t="n">
        <v>2</v>
      </c>
      <c r="AC94" t="n">
        <v>2</v>
      </c>
      <c r="AD94" t="n">
        <v>10</v>
      </c>
      <c r="AE94" t="n">
        <v>10</v>
      </c>
      <c r="AF94" t="n">
        <v>2</v>
      </c>
      <c r="AG94" t="n">
        <v>2</v>
      </c>
      <c r="AH94" t="n">
        <v>2</v>
      </c>
      <c r="AI94" t="n">
        <v>2</v>
      </c>
      <c r="AJ94" t="n">
        <v>8</v>
      </c>
      <c r="AK94" t="n">
        <v>8</v>
      </c>
      <c r="AL94" t="n">
        <v>1</v>
      </c>
      <c r="AM94" t="n">
        <v>1</v>
      </c>
      <c r="AN94" t="n">
        <v>0</v>
      </c>
      <c r="AO94" t="n">
        <v>0</v>
      </c>
      <c r="AP94" t="inlineStr">
        <is>
          <t>No</t>
        </is>
      </c>
      <c r="AQ94" t="inlineStr">
        <is>
          <t>Yes</t>
        </is>
      </c>
      <c r="AR94">
        <f>HYPERLINK("http://catalog.hathitrust.org/Record/009932175","HathiTrust Record")</f>
        <v/>
      </c>
      <c r="AS94">
        <f>HYPERLINK("https://creighton-primo.hosted.exlibrisgroup.com/primo-explore/search?tab=default_tab&amp;search_scope=EVERYTHING&amp;vid=01CRU&amp;lang=en_US&amp;offset=0&amp;query=any,contains,991005356889702656","Catalog Record")</f>
        <v/>
      </c>
      <c r="AT94">
        <f>HYPERLINK("http://www.worldcat.org/oclc/802031","WorldCat Record")</f>
        <v/>
      </c>
      <c r="AU94" t="inlineStr">
        <is>
          <t>4924721893:ger</t>
        </is>
      </c>
      <c r="AV94" t="inlineStr">
        <is>
          <t>802031</t>
        </is>
      </c>
      <c r="AW94" t="inlineStr">
        <is>
          <t>991005356889702656</t>
        </is>
      </c>
      <c r="AX94" t="inlineStr">
        <is>
          <t>991005356889702656</t>
        </is>
      </c>
      <c r="AY94" t="inlineStr">
        <is>
          <t>2270552310002656</t>
        </is>
      </c>
      <c r="AZ94" t="inlineStr">
        <is>
          <t>BOOK</t>
        </is>
      </c>
      <c r="BC94" t="inlineStr">
        <is>
          <t>32285002779444</t>
        </is>
      </c>
      <c r="BD94" t="inlineStr">
        <is>
          <t>893533651</t>
        </is>
      </c>
    </row>
    <row r="95">
      <c r="A95" t="inlineStr">
        <is>
          <t>No</t>
        </is>
      </c>
      <c r="B95" t="inlineStr">
        <is>
          <t>QD151 .G52 NO. 10 PT. A SECT.2</t>
        </is>
      </c>
      <c r="C95" t="inlineStr">
        <is>
          <t>0                      QD 0151000G  52                                                      NO. 10 PT. A SECT.2</t>
        </is>
      </c>
      <c r="D95" t="inlineStr">
        <is>
          <t>Gmelins Handbuch der anorganischen chemie.</t>
        </is>
      </c>
      <c r="E95" t="inlineStr">
        <is>
          <t>NO. 10 PT. A SECT.2*</t>
        </is>
      </c>
      <c r="F95" t="inlineStr">
        <is>
          <t>Yes</t>
        </is>
      </c>
      <c r="G95" t="inlineStr">
        <is>
          <t>1</t>
        </is>
      </c>
      <c r="H95" t="inlineStr">
        <is>
          <t>No</t>
        </is>
      </c>
      <c r="I95" t="inlineStr">
        <is>
          <t>No</t>
        </is>
      </c>
      <c r="J95" t="inlineStr">
        <is>
          <t>0</t>
        </is>
      </c>
      <c r="L95" t="inlineStr">
        <is>
          <t>Leipzig-Berlin, Verlag Chemie g.m.b.h., 1924-</t>
        </is>
      </c>
      <c r="M95" t="inlineStr">
        <is>
          <t>1924</t>
        </is>
      </c>
      <c r="N95" t="inlineStr">
        <is>
          <t>8. aufl. Hrsg. von der Deutschen chemischen gesellschaft, bearb. von R.J. Meyer, unter beratender mitwirkung von Franz Peters.</t>
        </is>
      </c>
      <c r="O95" t="inlineStr">
        <is>
          <t>ger</t>
        </is>
      </c>
      <c r="P95" t="inlineStr">
        <is>
          <t xml:space="preserve">xx </t>
        </is>
      </c>
      <c r="R95" t="inlineStr">
        <is>
          <t xml:space="preserve">QD </t>
        </is>
      </c>
      <c r="S95" t="n">
        <v>1</v>
      </c>
      <c r="T95" t="n">
        <v>324</v>
      </c>
      <c r="U95" t="inlineStr">
        <is>
          <t>1998-07-27</t>
        </is>
      </c>
      <c r="V95" t="inlineStr">
        <is>
          <t>1998-07-28</t>
        </is>
      </c>
      <c r="W95" t="inlineStr">
        <is>
          <t>1997-06-02</t>
        </is>
      </c>
      <c r="X95" t="inlineStr">
        <is>
          <t>1998-06-24</t>
        </is>
      </c>
      <c r="Y95" t="n">
        <v>259</v>
      </c>
      <c r="Z95" t="n">
        <v>221</v>
      </c>
      <c r="AA95" t="n">
        <v>223</v>
      </c>
      <c r="AB95" t="n">
        <v>2</v>
      </c>
      <c r="AC95" t="n">
        <v>2</v>
      </c>
      <c r="AD95" t="n">
        <v>10</v>
      </c>
      <c r="AE95" t="n">
        <v>10</v>
      </c>
      <c r="AF95" t="n">
        <v>2</v>
      </c>
      <c r="AG95" t="n">
        <v>2</v>
      </c>
      <c r="AH95" t="n">
        <v>2</v>
      </c>
      <c r="AI95" t="n">
        <v>2</v>
      </c>
      <c r="AJ95" t="n">
        <v>8</v>
      </c>
      <c r="AK95" t="n">
        <v>8</v>
      </c>
      <c r="AL95" t="n">
        <v>1</v>
      </c>
      <c r="AM95" t="n">
        <v>1</v>
      </c>
      <c r="AN95" t="n">
        <v>0</v>
      </c>
      <c r="AO95" t="n">
        <v>0</v>
      </c>
      <c r="AP95" t="inlineStr">
        <is>
          <t>No</t>
        </is>
      </c>
      <c r="AQ95" t="inlineStr">
        <is>
          <t>Yes</t>
        </is>
      </c>
      <c r="AR95">
        <f>HYPERLINK("http://catalog.hathitrust.org/Record/009932175","HathiTrust Record")</f>
        <v/>
      </c>
      <c r="AS95">
        <f>HYPERLINK("https://creighton-primo.hosted.exlibrisgroup.com/primo-explore/search?tab=default_tab&amp;search_scope=EVERYTHING&amp;vid=01CRU&amp;lang=en_US&amp;offset=0&amp;query=any,contains,991005356889702656","Catalog Record")</f>
        <v/>
      </c>
      <c r="AT95">
        <f>HYPERLINK("http://www.worldcat.org/oclc/802031","WorldCat Record")</f>
        <v/>
      </c>
      <c r="AU95" t="inlineStr">
        <is>
          <t>4924721893:ger</t>
        </is>
      </c>
      <c r="AV95" t="inlineStr">
        <is>
          <t>802031</t>
        </is>
      </c>
      <c r="AW95" t="inlineStr">
        <is>
          <t>991005356889702656</t>
        </is>
      </c>
      <c r="AX95" t="inlineStr">
        <is>
          <t>991005356889702656</t>
        </is>
      </c>
      <c r="AY95" t="inlineStr">
        <is>
          <t>2270552310002656</t>
        </is>
      </c>
      <c r="AZ95" t="inlineStr">
        <is>
          <t>BOOK</t>
        </is>
      </c>
      <c r="BC95" t="inlineStr">
        <is>
          <t>32285002779451</t>
        </is>
      </c>
      <c r="BD95" t="inlineStr">
        <is>
          <t>893527404</t>
        </is>
      </c>
    </row>
    <row r="96">
      <c r="A96" t="inlineStr">
        <is>
          <t>No</t>
        </is>
      </c>
      <c r="B96" t="inlineStr">
        <is>
          <t>QD151 .G52 NO. 10 PT. B</t>
        </is>
      </c>
      <c r="C96" t="inlineStr">
        <is>
          <t>0                      QD 0151000G  52                                                      NO. 10 PT. B</t>
        </is>
      </c>
      <c r="D96" t="inlineStr">
        <is>
          <t>Gmelins Handbuch der anorganischen chemie.</t>
        </is>
      </c>
      <c r="E96" t="inlineStr">
        <is>
          <t>NO. 10 PT. B*</t>
        </is>
      </c>
      <c r="F96" t="inlineStr">
        <is>
          <t>Yes</t>
        </is>
      </c>
      <c r="G96" t="inlineStr">
        <is>
          <t>1</t>
        </is>
      </c>
      <c r="H96" t="inlineStr">
        <is>
          <t>No</t>
        </is>
      </c>
      <c r="I96" t="inlineStr">
        <is>
          <t>No</t>
        </is>
      </c>
      <c r="J96" t="inlineStr">
        <is>
          <t>0</t>
        </is>
      </c>
      <c r="L96" t="inlineStr">
        <is>
          <t>Leipzig-Berlin, Verlag Chemie g.m.b.h., 1924-</t>
        </is>
      </c>
      <c r="M96" t="inlineStr">
        <is>
          <t>1924</t>
        </is>
      </c>
      <c r="N96" t="inlineStr">
        <is>
          <t>8. aufl. Hrsg. von der Deutschen chemischen gesellschaft, bearb. von R.J. Meyer, unter beratender mitwirkung von Franz Peters.</t>
        </is>
      </c>
      <c r="O96" t="inlineStr">
        <is>
          <t>ger</t>
        </is>
      </c>
      <c r="P96" t="inlineStr">
        <is>
          <t xml:space="preserve">xx </t>
        </is>
      </c>
      <c r="R96" t="inlineStr">
        <is>
          <t xml:space="preserve">QD </t>
        </is>
      </c>
      <c r="S96" t="n">
        <v>1</v>
      </c>
      <c r="T96" t="n">
        <v>324</v>
      </c>
      <c r="U96" t="inlineStr">
        <is>
          <t>1998-07-27</t>
        </is>
      </c>
      <c r="V96" t="inlineStr">
        <is>
          <t>1998-07-28</t>
        </is>
      </c>
      <c r="W96" t="inlineStr">
        <is>
          <t>1997-06-02</t>
        </is>
      </c>
      <c r="X96" t="inlineStr">
        <is>
          <t>1998-06-24</t>
        </is>
      </c>
      <c r="Y96" t="n">
        <v>259</v>
      </c>
      <c r="Z96" t="n">
        <v>221</v>
      </c>
      <c r="AA96" t="n">
        <v>223</v>
      </c>
      <c r="AB96" t="n">
        <v>2</v>
      </c>
      <c r="AC96" t="n">
        <v>2</v>
      </c>
      <c r="AD96" t="n">
        <v>10</v>
      </c>
      <c r="AE96" t="n">
        <v>10</v>
      </c>
      <c r="AF96" t="n">
        <v>2</v>
      </c>
      <c r="AG96" t="n">
        <v>2</v>
      </c>
      <c r="AH96" t="n">
        <v>2</v>
      </c>
      <c r="AI96" t="n">
        <v>2</v>
      </c>
      <c r="AJ96" t="n">
        <v>8</v>
      </c>
      <c r="AK96" t="n">
        <v>8</v>
      </c>
      <c r="AL96" t="n">
        <v>1</v>
      </c>
      <c r="AM96" t="n">
        <v>1</v>
      </c>
      <c r="AN96" t="n">
        <v>0</v>
      </c>
      <c r="AO96" t="n">
        <v>0</v>
      </c>
      <c r="AP96" t="inlineStr">
        <is>
          <t>No</t>
        </is>
      </c>
      <c r="AQ96" t="inlineStr">
        <is>
          <t>Yes</t>
        </is>
      </c>
      <c r="AR96">
        <f>HYPERLINK("http://catalog.hathitrust.org/Record/009932175","HathiTrust Record")</f>
        <v/>
      </c>
      <c r="AS96">
        <f>HYPERLINK("https://creighton-primo.hosted.exlibrisgroup.com/primo-explore/search?tab=default_tab&amp;search_scope=EVERYTHING&amp;vid=01CRU&amp;lang=en_US&amp;offset=0&amp;query=any,contains,991005356889702656","Catalog Record")</f>
        <v/>
      </c>
      <c r="AT96">
        <f>HYPERLINK("http://www.worldcat.org/oclc/802031","WorldCat Record")</f>
        <v/>
      </c>
      <c r="AU96" t="inlineStr">
        <is>
          <t>4924721893:ger</t>
        </is>
      </c>
      <c r="AV96" t="inlineStr">
        <is>
          <t>802031</t>
        </is>
      </c>
      <c r="AW96" t="inlineStr">
        <is>
          <t>991005356889702656</t>
        </is>
      </c>
      <c r="AX96" t="inlineStr">
        <is>
          <t>991005356889702656</t>
        </is>
      </c>
      <c r="AY96" t="inlineStr">
        <is>
          <t>2270552310002656</t>
        </is>
      </c>
      <c r="AZ96" t="inlineStr">
        <is>
          <t>BOOK</t>
        </is>
      </c>
      <c r="BC96" t="inlineStr">
        <is>
          <t>32285002779436</t>
        </is>
      </c>
      <c r="BD96" t="inlineStr">
        <is>
          <t>893520970</t>
        </is>
      </c>
    </row>
    <row r="97">
      <c r="A97" t="inlineStr">
        <is>
          <t>No</t>
        </is>
      </c>
      <c r="B97" t="inlineStr">
        <is>
          <t>QD151 .G52 NO. 11</t>
        </is>
      </c>
      <c r="C97" t="inlineStr">
        <is>
          <t>0                      QD 0151000G  52                                                      NO. 11</t>
        </is>
      </c>
      <c r="D97" t="inlineStr">
        <is>
          <t>Gmelins Handbuch der anorganischen chemie.</t>
        </is>
      </c>
      <c r="E97" t="inlineStr">
        <is>
          <t>NO. 11*</t>
        </is>
      </c>
      <c r="F97" t="inlineStr">
        <is>
          <t>Yes</t>
        </is>
      </c>
      <c r="G97" t="inlineStr">
        <is>
          <t>1</t>
        </is>
      </c>
      <c r="H97" t="inlineStr">
        <is>
          <t>No</t>
        </is>
      </c>
      <c r="I97" t="inlineStr">
        <is>
          <t>No</t>
        </is>
      </c>
      <c r="J97" t="inlineStr">
        <is>
          <t>0</t>
        </is>
      </c>
      <c r="L97" t="inlineStr">
        <is>
          <t>Leipzig-Berlin, Verlag Chemie g.m.b.h., 1924-</t>
        </is>
      </c>
      <c r="M97" t="inlineStr">
        <is>
          <t>1924</t>
        </is>
      </c>
      <c r="N97" t="inlineStr">
        <is>
          <t>8. aufl. Hrsg. von der Deutschen chemischen gesellschaft, bearb. von R.J. Meyer, unter beratender mitwirkung von Franz Peters.</t>
        </is>
      </c>
      <c r="O97" t="inlineStr">
        <is>
          <t>ger</t>
        </is>
      </c>
      <c r="P97" t="inlineStr">
        <is>
          <t xml:space="preserve">xx </t>
        </is>
      </c>
      <c r="R97" t="inlineStr">
        <is>
          <t xml:space="preserve">QD </t>
        </is>
      </c>
      <c r="S97" t="n">
        <v>1</v>
      </c>
      <c r="T97" t="n">
        <v>324</v>
      </c>
      <c r="U97" t="inlineStr">
        <is>
          <t>1998-07-27</t>
        </is>
      </c>
      <c r="V97" t="inlineStr">
        <is>
          <t>1998-07-28</t>
        </is>
      </c>
      <c r="W97" t="inlineStr">
        <is>
          <t>1997-06-02</t>
        </is>
      </c>
      <c r="X97" t="inlineStr">
        <is>
          <t>1998-06-24</t>
        </is>
      </c>
      <c r="Y97" t="n">
        <v>259</v>
      </c>
      <c r="Z97" t="n">
        <v>221</v>
      </c>
      <c r="AA97" t="n">
        <v>223</v>
      </c>
      <c r="AB97" t="n">
        <v>2</v>
      </c>
      <c r="AC97" t="n">
        <v>2</v>
      </c>
      <c r="AD97" t="n">
        <v>10</v>
      </c>
      <c r="AE97" t="n">
        <v>10</v>
      </c>
      <c r="AF97" t="n">
        <v>2</v>
      </c>
      <c r="AG97" t="n">
        <v>2</v>
      </c>
      <c r="AH97" t="n">
        <v>2</v>
      </c>
      <c r="AI97" t="n">
        <v>2</v>
      </c>
      <c r="AJ97" t="n">
        <v>8</v>
      </c>
      <c r="AK97" t="n">
        <v>8</v>
      </c>
      <c r="AL97" t="n">
        <v>1</v>
      </c>
      <c r="AM97" t="n">
        <v>1</v>
      </c>
      <c r="AN97" t="n">
        <v>0</v>
      </c>
      <c r="AO97" t="n">
        <v>0</v>
      </c>
      <c r="AP97" t="inlineStr">
        <is>
          <t>No</t>
        </is>
      </c>
      <c r="AQ97" t="inlineStr">
        <is>
          <t>Yes</t>
        </is>
      </c>
      <c r="AR97">
        <f>HYPERLINK("http://catalog.hathitrust.org/Record/009932175","HathiTrust Record")</f>
        <v/>
      </c>
      <c r="AS97">
        <f>HYPERLINK("https://creighton-primo.hosted.exlibrisgroup.com/primo-explore/search?tab=default_tab&amp;search_scope=EVERYTHING&amp;vid=01CRU&amp;lang=en_US&amp;offset=0&amp;query=any,contains,991005356889702656","Catalog Record")</f>
        <v/>
      </c>
      <c r="AT97">
        <f>HYPERLINK("http://www.worldcat.org/oclc/802031","WorldCat Record")</f>
        <v/>
      </c>
      <c r="AU97" t="inlineStr">
        <is>
          <t>4924721893:ger</t>
        </is>
      </c>
      <c r="AV97" t="inlineStr">
        <is>
          <t>802031</t>
        </is>
      </c>
      <c r="AW97" t="inlineStr">
        <is>
          <t>991005356889702656</t>
        </is>
      </c>
      <c r="AX97" t="inlineStr">
        <is>
          <t>991005356889702656</t>
        </is>
      </c>
      <c r="AY97" t="inlineStr">
        <is>
          <t>2270552310002656</t>
        </is>
      </c>
      <c r="AZ97" t="inlineStr">
        <is>
          <t>BOOK</t>
        </is>
      </c>
      <c r="BC97" t="inlineStr">
        <is>
          <t>32285002779469</t>
        </is>
      </c>
      <c r="BD97" t="inlineStr">
        <is>
          <t>893508061</t>
        </is>
      </c>
    </row>
    <row r="98">
      <c r="A98" t="inlineStr">
        <is>
          <t>No</t>
        </is>
      </c>
      <c r="B98" t="inlineStr">
        <is>
          <t>QD151 .G52 NO. 11 SUPP. PT. B1</t>
        </is>
      </c>
      <c r="C98" t="inlineStr">
        <is>
          <t>0                      QD 0151000G  52                                                      NO. 11 SUPP. PT. B1</t>
        </is>
      </c>
      <c r="D98" t="inlineStr">
        <is>
          <t>Gmelins Handbuch der anorganischen chemie.</t>
        </is>
      </c>
      <c r="E98" t="inlineStr">
        <is>
          <t>NO. 11 SUPP. PT. B1*</t>
        </is>
      </c>
      <c r="F98" t="inlineStr">
        <is>
          <t>Yes</t>
        </is>
      </c>
      <c r="G98" t="inlineStr">
        <is>
          <t>1</t>
        </is>
      </c>
      <c r="H98" t="inlineStr">
        <is>
          <t>No</t>
        </is>
      </c>
      <c r="I98" t="inlineStr">
        <is>
          <t>No</t>
        </is>
      </c>
      <c r="J98" t="inlineStr">
        <is>
          <t>0</t>
        </is>
      </c>
      <c r="L98" t="inlineStr">
        <is>
          <t>Leipzig-Berlin, Verlag Chemie g.m.b.h., 1924-</t>
        </is>
      </c>
      <c r="M98" t="inlineStr">
        <is>
          <t>1924</t>
        </is>
      </c>
      <c r="N98" t="inlineStr">
        <is>
          <t>8. aufl. Hrsg. von der Deutschen chemischen gesellschaft, bearb. von R.J. Meyer, unter beratender mitwirkung von Franz Peters.</t>
        </is>
      </c>
      <c r="O98" t="inlineStr">
        <is>
          <t>ger</t>
        </is>
      </c>
      <c r="P98" t="inlineStr">
        <is>
          <t xml:space="preserve">xx </t>
        </is>
      </c>
      <c r="R98" t="inlineStr">
        <is>
          <t xml:space="preserve">QD </t>
        </is>
      </c>
      <c r="S98" t="n">
        <v>1</v>
      </c>
      <c r="T98" t="n">
        <v>324</v>
      </c>
      <c r="U98" t="inlineStr">
        <is>
          <t>1998-07-27</t>
        </is>
      </c>
      <c r="V98" t="inlineStr">
        <is>
          <t>1998-07-28</t>
        </is>
      </c>
      <c r="W98" t="inlineStr">
        <is>
          <t>1997-06-02</t>
        </is>
      </c>
      <c r="X98" t="inlineStr">
        <is>
          <t>1998-06-24</t>
        </is>
      </c>
      <c r="Y98" t="n">
        <v>259</v>
      </c>
      <c r="Z98" t="n">
        <v>221</v>
      </c>
      <c r="AA98" t="n">
        <v>223</v>
      </c>
      <c r="AB98" t="n">
        <v>2</v>
      </c>
      <c r="AC98" t="n">
        <v>2</v>
      </c>
      <c r="AD98" t="n">
        <v>10</v>
      </c>
      <c r="AE98" t="n">
        <v>10</v>
      </c>
      <c r="AF98" t="n">
        <v>2</v>
      </c>
      <c r="AG98" t="n">
        <v>2</v>
      </c>
      <c r="AH98" t="n">
        <v>2</v>
      </c>
      <c r="AI98" t="n">
        <v>2</v>
      </c>
      <c r="AJ98" t="n">
        <v>8</v>
      </c>
      <c r="AK98" t="n">
        <v>8</v>
      </c>
      <c r="AL98" t="n">
        <v>1</v>
      </c>
      <c r="AM98" t="n">
        <v>1</v>
      </c>
      <c r="AN98" t="n">
        <v>0</v>
      </c>
      <c r="AO98" t="n">
        <v>0</v>
      </c>
      <c r="AP98" t="inlineStr">
        <is>
          <t>No</t>
        </is>
      </c>
      <c r="AQ98" t="inlineStr">
        <is>
          <t>Yes</t>
        </is>
      </c>
      <c r="AR98">
        <f>HYPERLINK("http://catalog.hathitrust.org/Record/009932175","HathiTrust Record")</f>
        <v/>
      </c>
      <c r="AS98">
        <f>HYPERLINK("https://creighton-primo.hosted.exlibrisgroup.com/primo-explore/search?tab=default_tab&amp;search_scope=EVERYTHING&amp;vid=01CRU&amp;lang=en_US&amp;offset=0&amp;query=any,contains,991005356889702656","Catalog Record")</f>
        <v/>
      </c>
      <c r="AT98">
        <f>HYPERLINK("http://www.worldcat.org/oclc/802031","WorldCat Record")</f>
        <v/>
      </c>
      <c r="AU98" t="inlineStr">
        <is>
          <t>4924721893:ger</t>
        </is>
      </c>
      <c r="AV98" t="inlineStr">
        <is>
          <t>802031</t>
        </is>
      </c>
      <c r="AW98" t="inlineStr">
        <is>
          <t>991005356889702656</t>
        </is>
      </c>
      <c r="AX98" t="inlineStr">
        <is>
          <t>991005356889702656</t>
        </is>
      </c>
      <c r="AY98" t="inlineStr">
        <is>
          <t>2270552310002656</t>
        </is>
      </c>
      <c r="AZ98" t="inlineStr">
        <is>
          <t>BOOK</t>
        </is>
      </c>
      <c r="BC98" t="inlineStr">
        <is>
          <t>32285002779477</t>
        </is>
      </c>
      <c r="BD98" t="inlineStr">
        <is>
          <t>893514532</t>
        </is>
      </c>
    </row>
    <row r="99">
      <c r="A99" t="inlineStr">
        <is>
          <t>No</t>
        </is>
      </c>
      <c r="B99" t="inlineStr">
        <is>
          <t>QD151 .G52 NO. 11 SUPP. PT. B2</t>
        </is>
      </c>
      <c r="C99" t="inlineStr">
        <is>
          <t>0                      QD 0151000G  52                                                      NO. 11 SUPP. PT. B2</t>
        </is>
      </c>
      <c r="D99" t="inlineStr">
        <is>
          <t>Gmelins Handbuch der anorganischen chemie.</t>
        </is>
      </c>
      <c r="E99" t="inlineStr">
        <is>
          <t>NO. 11 SUPP. PT. B2*</t>
        </is>
      </c>
      <c r="F99" t="inlineStr">
        <is>
          <t>Yes</t>
        </is>
      </c>
      <c r="G99" t="inlineStr">
        <is>
          <t>1</t>
        </is>
      </c>
      <c r="H99" t="inlineStr">
        <is>
          <t>No</t>
        </is>
      </c>
      <c r="I99" t="inlineStr">
        <is>
          <t>No</t>
        </is>
      </c>
      <c r="J99" t="inlineStr">
        <is>
          <t>0</t>
        </is>
      </c>
      <c r="L99" t="inlineStr">
        <is>
          <t>Leipzig-Berlin, Verlag Chemie g.m.b.h., 1924-</t>
        </is>
      </c>
      <c r="M99" t="inlineStr">
        <is>
          <t>1924</t>
        </is>
      </c>
      <c r="N99" t="inlineStr">
        <is>
          <t>8. aufl. Hrsg. von der Deutschen chemischen gesellschaft, bearb. von R.J. Meyer, unter beratender mitwirkung von Franz Peters.</t>
        </is>
      </c>
      <c r="O99" t="inlineStr">
        <is>
          <t>ger</t>
        </is>
      </c>
      <c r="P99" t="inlineStr">
        <is>
          <t xml:space="preserve">xx </t>
        </is>
      </c>
      <c r="R99" t="inlineStr">
        <is>
          <t xml:space="preserve">QD </t>
        </is>
      </c>
      <c r="S99" t="n">
        <v>1</v>
      </c>
      <c r="T99" t="n">
        <v>324</v>
      </c>
      <c r="U99" t="inlineStr">
        <is>
          <t>1998-07-27</t>
        </is>
      </c>
      <c r="V99" t="inlineStr">
        <is>
          <t>1998-07-28</t>
        </is>
      </c>
      <c r="W99" t="inlineStr">
        <is>
          <t>1997-06-02</t>
        </is>
      </c>
      <c r="X99" t="inlineStr">
        <is>
          <t>1998-06-24</t>
        </is>
      </c>
      <c r="Y99" t="n">
        <v>259</v>
      </c>
      <c r="Z99" t="n">
        <v>221</v>
      </c>
      <c r="AA99" t="n">
        <v>223</v>
      </c>
      <c r="AB99" t="n">
        <v>2</v>
      </c>
      <c r="AC99" t="n">
        <v>2</v>
      </c>
      <c r="AD99" t="n">
        <v>10</v>
      </c>
      <c r="AE99" t="n">
        <v>10</v>
      </c>
      <c r="AF99" t="n">
        <v>2</v>
      </c>
      <c r="AG99" t="n">
        <v>2</v>
      </c>
      <c r="AH99" t="n">
        <v>2</v>
      </c>
      <c r="AI99" t="n">
        <v>2</v>
      </c>
      <c r="AJ99" t="n">
        <v>8</v>
      </c>
      <c r="AK99" t="n">
        <v>8</v>
      </c>
      <c r="AL99" t="n">
        <v>1</v>
      </c>
      <c r="AM99" t="n">
        <v>1</v>
      </c>
      <c r="AN99" t="n">
        <v>0</v>
      </c>
      <c r="AO99" t="n">
        <v>0</v>
      </c>
      <c r="AP99" t="inlineStr">
        <is>
          <t>No</t>
        </is>
      </c>
      <c r="AQ99" t="inlineStr">
        <is>
          <t>Yes</t>
        </is>
      </c>
      <c r="AR99">
        <f>HYPERLINK("http://catalog.hathitrust.org/Record/009932175","HathiTrust Record")</f>
        <v/>
      </c>
      <c r="AS99">
        <f>HYPERLINK("https://creighton-primo.hosted.exlibrisgroup.com/primo-explore/search?tab=default_tab&amp;search_scope=EVERYTHING&amp;vid=01CRU&amp;lang=en_US&amp;offset=0&amp;query=any,contains,991005356889702656","Catalog Record")</f>
        <v/>
      </c>
      <c r="AT99">
        <f>HYPERLINK("http://www.worldcat.org/oclc/802031","WorldCat Record")</f>
        <v/>
      </c>
      <c r="AU99" t="inlineStr">
        <is>
          <t>4924721893:ger</t>
        </is>
      </c>
      <c r="AV99" t="inlineStr">
        <is>
          <t>802031</t>
        </is>
      </c>
      <c r="AW99" t="inlineStr">
        <is>
          <t>991005356889702656</t>
        </is>
      </c>
      <c r="AX99" t="inlineStr">
        <is>
          <t>991005356889702656</t>
        </is>
      </c>
      <c r="AY99" t="inlineStr">
        <is>
          <t>2270552310002656</t>
        </is>
      </c>
      <c r="AZ99" t="inlineStr">
        <is>
          <t>BOOK</t>
        </is>
      </c>
      <c r="BC99" t="inlineStr">
        <is>
          <t>32285002779485</t>
        </is>
      </c>
      <c r="BD99" t="inlineStr">
        <is>
          <t>893527403</t>
        </is>
      </c>
    </row>
    <row r="100">
      <c r="A100" t="inlineStr">
        <is>
          <t>No</t>
        </is>
      </c>
      <c r="B100" t="inlineStr">
        <is>
          <t>QD151 .G52 NO. 11 SUPP. PT. B3</t>
        </is>
      </c>
      <c r="C100" t="inlineStr">
        <is>
          <t>0                      QD 0151000G  52                                                      NO. 11 SUPP. PT. B3</t>
        </is>
      </c>
      <c r="D100" t="inlineStr">
        <is>
          <t>Gmelins Handbuch der anorganischen chemie.</t>
        </is>
      </c>
      <c r="E100" t="inlineStr">
        <is>
          <t>NO. 11 SUPP. PT. B3*</t>
        </is>
      </c>
      <c r="F100" t="inlineStr">
        <is>
          <t>Yes</t>
        </is>
      </c>
      <c r="G100" t="inlineStr">
        <is>
          <t>1</t>
        </is>
      </c>
      <c r="H100" t="inlineStr">
        <is>
          <t>No</t>
        </is>
      </c>
      <c r="I100" t="inlineStr">
        <is>
          <t>No</t>
        </is>
      </c>
      <c r="J100" t="inlineStr">
        <is>
          <t>0</t>
        </is>
      </c>
      <c r="L100" t="inlineStr">
        <is>
          <t>Leipzig-Berlin, Verlag Chemie g.m.b.h., 1924-</t>
        </is>
      </c>
      <c r="M100" t="inlineStr">
        <is>
          <t>1924</t>
        </is>
      </c>
      <c r="N100" t="inlineStr">
        <is>
          <t>8. aufl. Hrsg. von der Deutschen chemischen gesellschaft, bearb. von R.J. Meyer, unter beratender mitwirkung von Franz Peters.</t>
        </is>
      </c>
      <c r="O100" t="inlineStr">
        <is>
          <t>ger</t>
        </is>
      </c>
      <c r="P100" t="inlineStr">
        <is>
          <t xml:space="preserve">xx </t>
        </is>
      </c>
      <c r="R100" t="inlineStr">
        <is>
          <t xml:space="preserve">QD </t>
        </is>
      </c>
      <c r="S100" t="n">
        <v>1</v>
      </c>
      <c r="T100" t="n">
        <v>324</v>
      </c>
      <c r="U100" t="inlineStr">
        <is>
          <t>1998-07-27</t>
        </is>
      </c>
      <c r="V100" t="inlineStr">
        <is>
          <t>1998-07-28</t>
        </is>
      </c>
      <c r="W100" t="inlineStr">
        <is>
          <t>1998-06-24</t>
        </is>
      </c>
      <c r="X100" t="inlineStr">
        <is>
          <t>1998-06-24</t>
        </is>
      </c>
      <c r="Y100" t="n">
        <v>259</v>
      </c>
      <c r="Z100" t="n">
        <v>221</v>
      </c>
      <c r="AA100" t="n">
        <v>223</v>
      </c>
      <c r="AB100" t="n">
        <v>2</v>
      </c>
      <c r="AC100" t="n">
        <v>2</v>
      </c>
      <c r="AD100" t="n">
        <v>10</v>
      </c>
      <c r="AE100" t="n">
        <v>10</v>
      </c>
      <c r="AF100" t="n">
        <v>2</v>
      </c>
      <c r="AG100" t="n">
        <v>2</v>
      </c>
      <c r="AH100" t="n">
        <v>2</v>
      </c>
      <c r="AI100" t="n">
        <v>2</v>
      </c>
      <c r="AJ100" t="n">
        <v>8</v>
      </c>
      <c r="AK100" t="n">
        <v>8</v>
      </c>
      <c r="AL100" t="n">
        <v>1</v>
      </c>
      <c r="AM100" t="n">
        <v>1</v>
      </c>
      <c r="AN100" t="n">
        <v>0</v>
      </c>
      <c r="AO100" t="n">
        <v>0</v>
      </c>
      <c r="AP100" t="inlineStr">
        <is>
          <t>No</t>
        </is>
      </c>
      <c r="AQ100" t="inlineStr">
        <is>
          <t>Yes</t>
        </is>
      </c>
      <c r="AR100">
        <f>HYPERLINK("http://catalog.hathitrust.org/Record/009932175","HathiTrust Record")</f>
        <v/>
      </c>
      <c r="AS100">
        <f>HYPERLINK("https://creighton-primo.hosted.exlibrisgroup.com/primo-explore/search?tab=default_tab&amp;search_scope=EVERYTHING&amp;vid=01CRU&amp;lang=en_US&amp;offset=0&amp;query=any,contains,991005356889702656","Catalog Record")</f>
        <v/>
      </c>
      <c r="AT100">
        <f>HYPERLINK("http://www.worldcat.org/oclc/802031","WorldCat Record")</f>
        <v/>
      </c>
      <c r="AU100" t="inlineStr">
        <is>
          <t>4924721893:ger</t>
        </is>
      </c>
      <c r="AV100" t="inlineStr">
        <is>
          <t>802031</t>
        </is>
      </c>
      <c r="AW100" t="inlineStr">
        <is>
          <t>991005356889702656</t>
        </is>
      </c>
      <c r="AX100" t="inlineStr">
        <is>
          <t>991005356889702656</t>
        </is>
      </c>
      <c r="AY100" t="inlineStr">
        <is>
          <t>2270552310002656</t>
        </is>
      </c>
      <c r="AZ100" t="inlineStr">
        <is>
          <t>BOOK</t>
        </is>
      </c>
      <c r="BC100" t="inlineStr">
        <is>
          <t>32285003419594</t>
        </is>
      </c>
      <c r="BD100" t="inlineStr">
        <is>
          <t>893533650</t>
        </is>
      </c>
    </row>
    <row r="101">
      <c r="A101" t="inlineStr">
        <is>
          <t>No</t>
        </is>
      </c>
      <c r="B101" t="inlineStr">
        <is>
          <t>QD151 .G52 NO. 12</t>
        </is>
      </c>
      <c r="C101" t="inlineStr">
        <is>
          <t>0                      QD 0151000G  52                                                      NO. 12</t>
        </is>
      </c>
      <c r="D101" t="inlineStr">
        <is>
          <t>Gmelins Handbuch der anorganischen chemie.</t>
        </is>
      </c>
      <c r="E101" t="inlineStr">
        <is>
          <t>NO. 12*</t>
        </is>
      </c>
      <c r="F101" t="inlineStr">
        <is>
          <t>Yes</t>
        </is>
      </c>
      <c r="G101" t="inlineStr">
        <is>
          <t>1</t>
        </is>
      </c>
      <c r="H101" t="inlineStr">
        <is>
          <t>No</t>
        </is>
      </c>
      <c r="I101" t="inlineStr">
        <is>
          <t>No</t>
        </is>
      </c>
      <c r="J101" t="inlineStr">
        <is>
          <t>0</t>
        </is>
      </c>
      <c r="L101" t="inlineStr">
        <is>
          <t>Leipzig-Berlin, Verlag Chemie g.m.b.h., 1924-</t>
        </is>
      </c>
      <c r="M101" t="inlineStr">
        <is>
          <t>1924</t>
        </is>
      </c>
      <c r="N101" t="inlineStr">
        <is>
          <t>8. aufl. Hrsg. von der Deutschen chemischen gesellschaft, bearb. von R.J. Meyer, unter beratender mitwirkung von Franz Peters.</t>
        </is>
      </c>
      <c r="O101" t="inlineStr">
        <is>
          <t>ger</t>
        </is>
      </c>
      <c r="P101" t="inlineStr">
        <is>
          <t xml:space="preserve">xx </t>
        </is>
      </c>
      <c r="R101" t="inlineStr">
        <is>
          <t xml:space="preserve">QD </t>
        </is>
      </c>
      <c r="S101" t="n">
        <v>1</v>
      </c>
      <c r="T101" t="n">
        <v>324</v>
      </c>
      <c r="U101" t="inlineStr">
        <is>
          <t>1998-07-27</t>
        </is>
      </c>
      <c r="V101" t="inlineStr">
        <is>
          <t>1998-07-28</t>
        </is>
      </c>
      <c r="W101" t="inlineStr">
        <is>
          <t>1997-06-02</t>
        </is>
      </c>
      <c r="X101" t="inlineStr">
        <is>
          <t>1998-06-24</t>
        </is>
      </c>
      <c r="Y101" t="n">
        <v>259</v>
      </c>
      <c r="Z101" t="n">
        <v>221</v>
      </c>
      <c r="AA101" t="n">
        <v>223</v>
      </c>
      <c r="AB101" t="n">
        <v>2</v>
      </c>
      <c r="AC101" t="n">
        <v>2</v>
      </c>
      <c r="AD101" t="n">
        <v>10</v>
      </c>
      <c r="AE101" t="n">
        <v>10</v>
      </c>
      <c r="AF101" t="n">
        <v>2</v>
      </c>
      <c r="AG101" t="n">
        <v>2</v>
      </c>
      <c r="AH101" t="n">
        <v>2</v>
      </c>
      <c r="AI101" t="n">
        <v>2</v>
      </c>
      <c r="AJ101" t="n">
        <v>8</v>
      </c>
      <c r="AK101" t="n">
        <v>8</v>
      </c>
      <c r="AL101" t="n">
        <v>1</v>
      </c>
      <c r="AM101" t="n">
        <v>1</v>
      </c>
      <c r="AN101" t="n">
        <v>0</v>
      </c>
      <c r="AO101" t="n">
        <v>0</v>
      </c>
      <c r="AP101" t="inlineStr">
        <is>
          <t>No</t>
        </is>
      </c>
      <c r="AQ101" t="inlineStr">
        <is>
          <t>Yes</t>
        </is>
      </c>
      <c r="AR101">
        <f>HYPERLINK("http://catalog.hathitrust.org/Record/009932175","HathiTrust Record")</f>
        <v/>
      </c>
      <c r="AS101">
        <f>HYPERLINK("https://creighton-primo.hosted.exlibrisgroup.com/primo-explore/search?tab=default_tab&amp;search_scope=EVERYTHING&amp;vid=01CRU&amp;lang=en_US&amp;offset=0&amp;query=any,contains,991005356889702656","Catalog Record")</f>
        <v/>
      </c>
      <c r="AT101">
        <f>HYPERLINK("http://www.worldcat.org/oclc/802031","WorldCat Record")</f>
        <v/>
      </c>
      <c r="AU101" t="inlineStr">
        <is>
          <t>4924721893:ger</t>
        </is>
      </c>
      <c r="AV101" t="inlineStr">
        <is>
          <t>802031</t>
        </is>
      </c>
      <c r="AW101" t="inlineStr">
        <is>
          <t>991005356889702656</t>
        </is>
      </c>
      <c r="AX101" t="inlineStr">
        <is>
          <t>991005356889702656</t>
        </is>
      </c>
      <c r="AY101" t="inlineStr">
        <is>
          <t>2270552310002656</t>
        </is>
      </c>
      <c r="AZ101" t="inlineStr">
        <is>
          <t>BOOK</t>
        </is>
      </c>
      <c r="BC101" t="inlineStr">
        <is>
          <t>32285002779493</t>
        </is>
      </c>
      <c r="BD101" t="inlineStr">
        <is>
          <t>893520969</t>
        </is>
      </c>
    </row>
    <row r="102">
      <c r="A102" t="inlineStr">
        <is>
          <t>No</t>
        </is>
      </c>
      <c r="B102" t="inlineStr">
        <is>
          <t>QD151 .G52 NO. 13</t>
        </is>
      </c>
      <c r="C102" t="inlineStr">
        <is>
          <t>0                      QD 0151000G  52                                                      NO. 13</t>
        </is>
      </c>
      <c r="D102" t="inlineStr">
        <is>
          <t>Gmelins Handbuch der anorganischen chemie.</t>
        </is>
      </c>
      <c r="E102" t="inlineStr">
        <is>
          <t>NO. 13*</t>
        </is>
      </c>
      <c r="F102" t="inlineStr">
        <is>
          <t>Yes</t>
        </is>
      </c>
      <c r="G102" t="inlineStr">
        <is>
          <t>1</t>
        </is>
      </c>
      <c r="H102" t="inlineStr">
        <is>
          <t>No</t>
        </is>
      </c>
      <c r="I102" t="inlineStr">
        <is>
          <t>No</t>
        </is>
      </c>
      <c r="J102" t="inlineStr">
        <is>
          <t>0</t>
        </is>
      </c>
      <c r="L102" t="inlineStr">
        <is>
          <t>Leipzig-Berlin, Verlag Chemie g.m.b.h., 1924-</t>
        </is>
      </c>
      <c r="M102" t="inlineStr">
        <is>
          <t>1924</t>
        </is>
      </c>
      <c r="N102" t="inlineStr">
        <is>
          <t>8. aufl. Hrsg. von der Deutschen chemischen gesellschaft, bearb. von R.J. Meyer, unter beratender mitwirkung von Franz Peters.</t>
        </is>
      </c>
      <c r="O102" t="inlineStr">
        <is>
          <t>ger</t>
        </is>
      </c>
      <c r="P102" t="inlineStr">
        <is>
          <t xml:space="preserve">xx </t>
        </is>
      </c>
      <c r="R102" t="inlineStr">
        <is>
          <t xml:space="preserve">QD </t>
        </is>
      </c>
      <c r="S102" t="n">
        <v>1</v>
      </c>
      <c r="T102" t="n">
        <v>324</v>
      </c>
      <c r="U102" t="inlineStr">
        <is>
          <t>1998-07-27</t>
        </is>
      </c>
      <c r="V102" t="inlineStr">
        <is>
          <t>1998-07-28</t>
        </is>
      </c>
      <c r="W102" t="inlineStr">
        <is>
          <t>1997-06-02</t>
        </is>
      </c>
      <c r="X102" t="inlineStr">
        <is>
          <t>1998-06-24</t>
        </is>
      </c>
      <c r="Y102" t="n">
        <v>259</v>
      </c>
      <c r="Z102" t="n">
        <v>221</v>
      </c>
      <c r="AA102" t="n">
        <v>223</v>
      </c>
      <c r="AB102" t="n">
        <v>2</v>
      </c>
      <c r="AC102" t="n">
        <v>2</v>
      </c>
      <c r="AD102" t="n">
        <v>10</v>
      </c>
      <c r="AE102" t="n">
        <v>10</v>
      </c>
      <c r="AF102" t="n">
        <v>2</v>
      </c>
      <c r="AG102" t="n">
        <v>2</v>
      </c>
      <c r="AH102" t="n">
        <v>2</v>
      </c>
      <c r="AI102" t="n">
        <v>2</v>
      </c>
      <c r="AJ102" t="n">
        <v>8</v>
      </c>
      <c r="AK102" t="n">
        <v>8</v>
      </c>
      <c r="AL102" t="n">
        <v>1</v>
      </c>
      <c r="AM102" t="n">
        <v>1</v>
      </c>
      <c r="AN102" t="n">
        <v>0</v>
      </c>
      <c r="AO102" t="n">
        <v>0</v>
      </c>
      <c r="AP102" t="inlineStr">
        <is>
          <t>No</t>
        </is>
      </c>
      <c r="AQ102" t="inlineStr">
        <is>
          <t>Yes</t>
        </is>
      </c>
      <c r="AR102">
        <f>HYPERLINK("http://catalog.hathitrust.org/Record/009932175","HathiTrust Record")</f>
        <v/>
      </c>
      <c r="AS102">
        <f>HYPERLINK("https://creighton-primo.hosted.exlibrisgroup.com/primo-explore/search?tab=default_tab&amp;search_scope=EVERYTHING&amp;vid=01CRU&amp;lang=en_US&amp;offset=0&amp;query=any,contains,991005356889702656","Catalog Record")</f>
        <v/>
      </c>
      <c r="AT102">
        <f>HYPERLINK("http://www.worldcat.org/oclc/802031","WorldCat Record")</f>
        <v/>
      </c>
      <c r="AU102" t="inlineStr">
        <is>
          <t>4924721893:ger</t>
        </is>
      </c>
      <c r="AV102" t="inlineStr">
        <is>
          <t>802031</t>
        </is>
      </c>
      <c r="AW102" t="inlineStr">
        <is>
          <t>991005356889702656</t>
        </is>
      </c>
      <c r="AX102" t="inlineStr">
        <is>
          <t>991005356889702656</t>
        </is>
      </c>
      <c r="AY102" t="inlineStr">
        <is>
          <t>2270552310002656</t>
        </is>
      </c>
      <c r="AZ102" t="inlineStr">
        <is>
          <t>BOOK</t>
        </is>
      </c>
      <c r="BC102" t="inlineStr">
        <is>
          <t>32285002779501</t>
        </is>
      </c>
      <c r="BD102" t="inlineStr">
        <is>
          <t>893514531</t>
        </is>
      </c>
    </row>
    <row r="103">
      <c r="A103" t="inlineStr">
        <is>
          <t>No</t>
        </is>
      </c>
      <c r="B103" t="inlineStr">
        <is>
          <t>QD151 .G52 NO. 13 SUPP.</t>
        </is>
      </c>
      <c r="C103" t="inlineStr">
        <is>
          <t>0                      QD 0151000G  52                                                      NO. 13 SUPP.</t>
        </is>
      </c>
      <c r="D103" t="inlineStr">
        <is>
          <t>Gmelins Handbuch der anorganischen chemie.</t>
        </is>
      </c>
      <c r="E103" t="inlineStr">
        <is>
          <t>NO. 13 SUPP.*</t>
        </is>
      </c>
      <c r="F103" t="inlineStr">
        <is>
          <t>Yes</t>
        </is>
      </c>
      <c r="G103" t="inlineStr">
        <is>
          <t>1</t>
        </is>
      </c>
      <c r="H103" t="inlineStr">
        <is>
          <t>No</t>
        </is>
      </c>
      <c r="I103" t="inlineStr">
        <is>
          <t>No</t>
        </is>
      </c>
      <c r="J103" t="inlineStr">
        <is>
          <t>0</t>
        </is>
      </c>
      <c r="L103" t="inlineStr">
        <is>
          <t>Leipzig-Berlin, Verlag Chemie g.m.b.h., 1924-</t>
        </is>
      </c>
      <c r="M103" t="inlineStr">
        <is>
          <t>1924</t>
        </is>
      </c>
      <c r="N103" t="inlineStr">
        <is>
          <t>8. aufl. Hrsg. von der Deutschen chemischen gesellschaft, bearb. von R.J. Meyer, unter beratender mitwirkung von Franz Peters.</t>
        </is>
      </c>
      <c r="O103" t="inlineStr">
        <is>
          <t>ger</t>
        </is>
      </c>
      <c r="P103" t="inlineStr">
        <is>
          <t xml:space="preserve">xx </t>
        </is>
      </c>
      <c r="R103" t="inlineStr">
        <is>
          <t xml:space="preserve">QD </t>
        </is>
      </c>
      <c r="S103" t="n">
        <v>1</v>
      </c>
      <c r="T103" t="n">
        <v>324</v>
      </c>
      <c r="U103" t="inlineStr">
        <is>
          <t>1998-07-27</t>
        </is>
      </c>
      <c r="V103" t="inlineStr">
        <is>
          <t>1998-07-28</t>
        </is>
      </c>
      <c r="W103" t="inlineStr">
        <is>
          <t>1997-06-02</t>
        </is>
      </c>
      <c r="X103" t="inlineStr">
        <is>
          <t>1998-06-24</t>
        </is>
      </c>
      <c r="Y103" t="n">
        <v>259</v>
      </c>
      <c r="Z103" t="n">
        <v>221</v>
      </c>
      <c r="AA103" t="n">
        <v>223</v>
      </c>
      <c r="AB103" t="n">
        <v>2</v>
      </c>
      <c r="AC103" t="n">
        <v>2</v>
      </c>
      <c r="AD103" t="n">
        <v>10</v>
      </c>
      <c r="AE103" t="n">
        <v>10</v>
      </c>
      <c r="AF103" t="n">
        <v>2</v>
      </c>
      <c r="AG103" t="n">
        <v>2</v>
      </c>
      <c r="AH103" t="n">
        <v>2</v>
      </c>
      <c r="AI103" t="n">
        <v>2</v>
      </c>
      <c r="AJ103" t="n">
        <v>8</v>
      </c>
      <c r="AK103" t="n">
        <v>8</v>
      </c>
      <c r="AL103" t="n">
        <v>1</v>
      </c>
      <c r="AM103" t="n">
        <v>1</v>
      </c>
      <c r="AN103" t="n">
        <v>0</v>
      </c>
      <c r="AO103" t="n">
        <v>0</v>
      </c>
      <c r="AP103" t="inlineStr">
        <is>
          <t>No</t>
        </is>
      </c>
      <c r="AQ103" t="inlineStr">
        <is>
          <t>Yes</t>
        </is>
      </c>
      <c r="AR103">
        <f>HYPERLINK("http://catalog.hathitrust.org/Record/009932175","HathiTrust Record")</f>
        <v/>
      </c>
      <c r="AS103">
        <f>HYPERLINK("https://creighton-primo.hosted.exlibrisgroup.com/primo-explore/search?tab=default_tab&amp;search_scope=EVERYTHING&amp;vid=01CRU&amp;lang=en_US&amp;offset=0&amp;query=any,contains,991005356889702656","Catalog Record")</f>
        <v/>
      </c>
      <c r="AT103">
        <f>HYPERLINK("http://www.worldcat.org/oclc/802031","WorldCat Record")</f>
        <v/>
      </c>
      <c r="AU103" t="inlineStr">
        <is>
          <t>4924721893:ger</t>
        </is>
      </c>
      <c r="AV103" t="inlineStr">
        <is>
          <t>802031</t>
        </is>
      </c>
      <c r="AW103" t="inlineStr">
        <is>
          <t>991005356889702656</t>
        </is>
      </c>
      <c r="AX103" t="inlineStr">
        <is>
          <t>991005356889702656</t>
        </is>
      </c>
      <c r="AY103" t="inlineStr">
        <is>
          <t>2270552310002656</t>
        </is>
      </c>
      <c r="AZ103" t="inlineStr">
        <is>
          <t>BOOK</t>
        </is>
      </c>
      <c r="BC103" t="inlineStr">
        <is>
          <t>32285002779519</t>
        </is>
      </c>
      <c r="BD103" t="inlineStr">
        <is>
          <t>893527428</t>
        </is>
      </c>
    </row>
    <row r="104">
      <c r="A104" t="inlineStr">
        <is>
          <t>No</t>
        </is>
      </c>
      <c r="B104" t="inlineStr">
        <is>
          <t>QD151 .G52 NO. 14 PT. B1</t>
        </is>
      </c>
      <c r="C104" t="inlineStr">
        <is>
          <t>0                      QD 0151000G  52                                                      NO. 14 PT. B1</t>
        </is>
      </c>
      <c r="D104" t="inlineStr">
        <is>
          <t>Gmelins Handbuch der anorganischen chemie.</t>
        </is>
      </c>
      <c r="E104" t="inlineStr">
        <is>
          <t>NO. 14 PT. B1*</t>
        </is>
      </c>
      <c r="F104" t="inlineStr">
        <is>
          <t>Yes</t>
        </is>
      </c>
      <c r="G104" t="inlineStr">
        <is>
          <t>1</t>
        </is>
      </c>
      <c r="H104" t="inlineStr">
        <is>
          <t>No</t>
        </is>
      </c>
      <c r="I104" t="inlineStr">
        <is>
          <t>No</t>
        </is>
      </c>
      <c r="J104" t="inlineStr">
        <is>
          <t>0</t>
        </is>
      </c>
      <c r="L104" t="inlineStr">
        <is>
          <t>Leipzig-Berlin, Verlag Chemie g.m.b.h., 1924-</t>
        </is>
      </c>
      <c r="M104" t="inlineStr">
        <is>
          <t>1924</t>
        </is>
      </c>
      <c r="N104" t="inlineStr">
        <is>
          <t>8. aufl. Hrsg. von der Deutschen chemischen gesellschaft, bearb. von R.J. Meyer, unter beratender mitwirkung von Franz Peters.</t>
        </is>
      </c>
      <c r="O104" t="inlineStr">
        <is>
          <t>ger</t>
        </is>
      </c>
      <c r="P104" t="inlineStr">
        <is>
          <t xml:space="preserve">xx </t>
        </is>
      </c>
      <c r="R104" t="inlineStr">
        <is>
          <t xml:space="preserve">QD </t>
        </is>
      </c>
      <c r="S104" t="n">
        <v>1</v>
      </c>
      <c r="T104" t="n">
        <v>324</v>
      </c>
      <c r="U104" t="inlineStr">
        <is>
          <t>1998-07-27</t>
        </is>
      </c>
      <c r="V104" t="inlineStr">
        <is>
          <t>1998-07-28</t>
        </is>
      </c>
      <c r="W104" t="inlineStr">
        <is>
          <t>1997-06-02</t>
        </is>
      </c>
      <c r="X104" t="inlineStr">
        <is>
          <t>1998-06-24</t>
        </is>
      </c>
      <c r="Y104" t="n">
        <v>259</v>
      </c>
      <c r="Z104" t="n">
        <v>221</v>
      </c>
      <c r="AA104" t="n">
        <v>223</v>
      </c>
      <c r="AB104" t="n">
        <v>2</v>
      </c>
      <c r="AC104" t="n">
        <v>2</v>
      </c>
      <c r="AD104" t="n">
        <v>10</v>
      </c>
      <c r="AE104" t="n">
        <v>10</v>
      </c>
      <c r="AF104" t="n">
        <v>2</v>
      </c>
      <c r="AG104" t="n">
        <v>2</v>
      </c>
      <c r="AH104" t="n">
        <v>2</v>
      </c>
      <c r="AI104" t="n">
        <v>2</v>
      </c>
      <c r="AJ104" t="n">
        <v>8</v>
      </c>
      <c r="AK104" t="n">
        <v>8</v>
      </c>
      <c r="AL104" t="n">
        <v>1</v>
      </c>
      <c r="AM104" t="n">
        <v>1</v>
      </c>
      <c r="AN104" t="n">
        <v>0</v>
      </c>
      <c r="AO104" t="n">
        <v>0</v>
      </c>
      <c r="AP104" t="inlineStr">
        <is>
          <t>No</t>
        </is>
      </c>
      <c r="AQ104" t="inlineStr">
        <is>
          <t>Yes</t>
        </is>
      </c>
      <c r="AR104">
        <f>HYPERLINK("http://catalog.hathitrust.org/Record/009932175","HathiTrust Record")</f>
        <v/>
      </c>
      <c r="AS104">
        <f>HYPERLINK("https://creighton-primo.hosted.exlibrisgroup.com/primo-explore/search?tab=default_tab&amp;search_scope=EVERYTHING&amp;vid=01CRU&amp;lang=en_US&amp;offset=0&amp;query=any,contains,991005356889702656","Catalog Record")</f>
        <v/>
      </c>
      <c r="AT104">
        <f>HYPERLINK("http://www.worldcat.org/oclc/802031","WorldCat Record")</f>
        <v/>
      </c>
      <c r="AU104" t="inlineStr">
        <is>
          <t>4924721893:ger</t>
        </is>
      </c>
      <c r="AV104" t="inlineStr">
        <is>
          <t>802031</t>
        </is>
      </c>
      <c r="AW104" t="inlineStr">
        <is>
          <t>991005356889702656</t>
        </is>
      </c>
      <c r="AX104" t="inlineStr">
        <is>
          <t>991005356889702656</t>
        </is>
      </c>
      <c r="AY104" t="inlineStr">
        <is>
          <t>2270552310002656</t>
        </is>
      </c>
      <c r="AZ104" t="inlineStr">
        <is>
          <t>BOOK</t>
        </is>
      </c>
      <c r="BC104" t="inlineStr">
        <is>
          <t>32285002779527</t>
        </is>
      </c>
      <c r="BD104" t="inlineStr">
        <is>
          <t>893501782</t>
        </is>
      </c>
    </row>
    <row r="105">
      <c r="A105" t="inlineStr">
        <is>
          <t>No</t>
        </is>
      </c>
      <c r="B105" t="inlineStr">
        <is>
          <t>QD151 .G52 NO. 14 PT. B2</t>
        </is>
      </c>
      <c r="C105" t="inlineStr">
        <is>
          <t>0                      QD 0151000G  52                                                      NO. 14 PT. B2</t>
        </is>
      </c>
      <c r="D105" t="inlineStr">
        <is>
          <t>Gmelins Handbuch der anorganischen chemie.</t>
        </is>
      </c>
      <c r="E105" t="inlineStr">
        <is>
          <t>NO. 14 PT. B2*</t>
        </is>
      </c>
      <c r="F105" t="inlineStr">
        <is>
          <t>Yes</t>
        </is>
      </c>
      <c r="G105" t="inlineStr">
        <is>
          <t>1</t>
        </is>
      </c>
      <c r="H105" t="inlineStr">
        <is>
          <t>No</t>
        </is>
      </c>
      <c r="I105" t="inlineStr">
        <is>
          <t>No</t>
        </is>
      </c>
      <c r="J105" t="inlineStr">
        <is>
          <t>0</t>
        </is>
      </c>
      <c r="L105" t="inlineStr">
        <is>
          <t>Leipzig-Berlin, Verlag Chemie g.m.b.h., 1924-</t>
        </is>
      </c>
      <c r="M105" t="inlineStr">
        <is>
          <t>1924</t>
        </is>
      </c>
      <c r="N105" t="inlineStr">
        <is>
          <t>8. aufl. Hrsg. von der Deutschen chemischen gesellschaft, bearb. von R.J. Meyer, unter beratender mitwirkung von Franz Peters.</t>
        </is>
      </c>
      <c r="O105" t="inlineStr">
        <is>
          <t>ger</t>
        </is>
      </c>
      <c r="P105" t="inlineStr">
        <is>
          <t xml:space="preserve">xx </t>
        </is>
      </c>
      <c r="R105" t="inlineStr">
        <is>
          <t xml:space="preserve">QD </t>
        </is>
      </c>
      <c r="S105" t="n">
        <v>1</v>
      </c>
      <c r="T105" t="n">
        <v>324</v>
      </c>
      <c r="U105" t="inlineStr">
        <is>
          <t>1998-07-27</t>
        </is>
      </c>
      <c r="V105" t="inlineStr">
        <is>
          <t>1998-07-28</t>
        </is>
      </c>
      <c r="W105" t="inlineStr">
        <is>
          <t>1997-06-02</t>
        </is>
      </c>
      <c r="X105" t="inlineStr">
        <is>
          <t>1998-06-24</t>
        </is>
      </c>
      <c r="Y105" t="n">
        <v>259</v>
      </c>
      <c r="Z105" t="n">
        <v>221</v>
      </c>
      <c r="AA105" t="n">
        <v>223</v>
      </c>
      <c r="AB105" t="n">
        <v>2</v>
      </c>
      <c r="AC105" t="n">
        <v>2</v>
      </c>
      <c r="AD105" t="n">
        <v>10</v>
      </c>
      <c r="AE105" t="n">
        <v>10</v>
      </c>
      <c r="AF105" t="n">
        <v>2</v>
      </c>
      <c r="AG105" t="n">
        <v>2</v>
      </c>
      <c r="AH105" t="n">
        <v>2</v>
      </c>
      <c r="AI105" t="n">
        <v>2</v>
      </c>
      <c r="AJ105" t="n">
        <v>8</v>
      </c>
      <c r="AK105" t="n">
        <v>8</v>
      </c>
      <c r="AL105" t="n">
        <v>1</v>
      </c>
      <c r="AM105" t="n">
        <v>1</v>
      </c>
      <c r="AN105" t="n">
        <v>0</v>
      </c>
      <c r="AO105" t="n">
        <v>0</v>
      </c>
      <c r="AP105" t="inlineStr">
        <is>
          <t>No</t>
        </is>
      </c>
      <c r="AQ105" t="inlineStr">
        <is>
          <t>Yes</t>
        </is>
      </c>
      <c r="AR105">
        <f>HYPERLINK("http://catalog.hathitrust.org/Record/009932175","HathiTrust Record")</f>
        <v/>
      </c>
      <c r="AS105">
        <f>HYPERLINK("https://creighton-primo.hosted.exlibrisgroup.com/primo-explore/search?tab=default_tab&amp;search_scope=EVERYTHING&amp;vid=01CRU&amp;lang=en_US&amp;offset=0&amp;query=any,contains,991005356889702656","Catalog Record")</f>
        <v/>
      </c>
      <c r="AT105">
        <f>HYPERLINK("http://www.worldcat.org/oclc/802031","WorldCat Record")</f>
        <v/>
      </c>
      <c r="AU105" t="inlineStr">
        <is>
          <t>4924721893:ger</t>
        </is>
      </c>
      <c r="AV105" t="inlineStr">
        <is>
          <t>802031</t>
        </is>
      </c>
      <c r="AW105" t="inlineStr">
        <is>
          <t>991005356889702656</t>
        </is>
      </c>
      <c r="AX105" t="inlineStr">
        <is>
          <t>991005356889702656</t>
        </is>
      </c>
      <c r="AY105" t="inlineStr">
        <is>
          <t>2270552310002656</t>
        </is>
      </c>
      <c r="AZ105" t="inlineStr">
        <is>
          <t>BOOK</t>
        </is>
      </c>
      <c r="BC105" t="inlineStr">
        <is>
          <t>32285002779535</t>
        </is>
      </c>
      <c r="BD105" t="inlineStr">
        <is>
          <t>893527427</t>
        </is>
      </c>
    </row>
    <row r="106">
      <c r="A106" t="inlineStr">
        <is>
          <t>No</t>
        </is>
      </c>
      <c r="B106" t="inlineStr">
        <is>
          <t>QD151 .G52 NO. 14 PT. B3</t>
        </is>
      </c>
      <c r="C106" t="inlineStr">
        <is>
          <t>0                      QD 0151000G  52                                                      NO. 14 PT. B3</t>
        </is>
      </c>
      <c r="D106" t="inlineStr">
        <is>
          <t>Gmelins Handbuch der anorganischen chemie.</t>
        </is>
      </c>
      <c r="E106" t="inlineStr">
        <is>
          <t>NO. 14 PT. B3*</t>
        </is>
      </c>
      <c r="F106" t="inlineStr">
        <is>
          <t>Yes</t>
        </is>
      </c>
      <c r="G106" t="inlineStr">
        <is>
          <t>1</t>
        </is>
      </c>
      <c r="H106" t="inlineStr">
        <is>
          <t>No</t>
        </is>
      </c>
      <c r="I106" t="inlineStr">
        <is>
          <t>No</t>
        </is>
      </c>
      <c r="J106" t="inlineStr">
        <is>
          <t>0</t>
        </is>
      </c>
      <c r="L106" t="inlineStr">
        <is>
          <t>Leipzig-Berlin, Verlag Chemie g.m.b.h., 1924-</t>
        </is>
      </c>
      <c r="M106" t="inlineStr">
        <is>
          <t>1924</t>
        </is>
      </c>
      <c r="N106" t="inlineStr">
        <is>
          <t>8. aufl. Hrsg. von der Deutschen chemischen gesellschaft, bearb. von R.J. Meyer, unter beratender mitwirkung von Franz Peters.</t>
        </is>
      </c>
      <c r="O106" t="inlineStr">
        <is>
          <t>ger</t>
        </is>
      </c>
      <c r="P106" t="inlineStr">
        <is>
          <t xml:space="preserve">xx </t>
        </is>
      </c>
      <c r="R106" t="inlineStr">
        <is>
          <t xml:space="preserve">QD </t>
        </is>
      </c>
      <c r="S106" t="n">
        <v>1</v>
      </c>
      <c r="T106" t="n">
        <v>324</v>
      </c>
      <c r="U106" t="inlineStr">
        <is>
          <t>1998-07-27</t>
        </is>
      </c>
      <c r="V106" t="inlineStr">
        <is>
          <t>1998-07-28</t>
        </is>
      </c>
      <c r="W106" t="inlineStr">
        <is>
          <t>1997-06-02</t>
        </is>
      </c>
      <c r="X106" t="inlineStr">
        <is>
          <t>1998-06-24</t>
        </is>
      </c>
      <c r="Y106" t="n">
        <v>259</v>
      </c>
      <c r="Z106" t="n">
        <v>221</v>
      </c>
      <c r="AA106" t="n">
        <v>223</v>
      </c>
      <c r="AB106" t="n">
        <v>2</v>
      </c>
      <c r="AC106" t="n">
        <v>2</v>
      </c>
      <c r="AD106" t="n">
        <v>10</v>
      </c>
      <c r="AE106" t="n">
        <v>10</v>
      </c>
      <c r="AF106" t="n">
        <v>2</v>
      </c>
      <c r="AG106" t="n">
        <v>2</v>
      </c>
      <c r="AH106" t="n">
        <v>2</v>
      </c>
      <c r="AI106" t="n">
        <v>2</v>
      </c>
      <c r="AJ106" t="n">
        <v>8</v>
      </c>
      <c r="AK106" t="n">
        <v>8</v>
      </c>
      <c r="AL106" t="n">
        <v>1</v>
      </c>
      <c r="AM106" t="n">
        <v>1</v>
      </c>
      <c r="AN106" t="n">
        <v>0</v>
      </c>
      <c r="AO106" t="n">
        <v>0</v>
      </c>
      <c r="AP106" t="inlineStr">
        <is>
          <t>No</t>
        </is>
      </c>
      <c r="AQ106" t="inlineStr">
        <is>
          <t>Yes</t>
        </is>
      </c>
      <c r="AR106">
        <f>HYPERLINK("http://catalog.hathitrust.org/Record/009932175","HathiTrust Record")</f>
        <v/>
      </c>
      <c r="AS106">
        <f>HYPERLINK("https://creighton-primo.hosted.exlibrisgroup.com/primo-explore/search?tab=default_tab&amp;search_scope=EVERYTHING&amp;vid=01CRU&amp;lang=en_US&amp;offset=0&amp;query=any,contains,991005356889702656","Catalog Record")</f>
        <v/>
      </c>
      <c r="AT106">
        <f>HYPERLINK("http://www.worldcat.org/oclc/802031","WorldCat Record")</f>
        <v/>
      </c>
      <c r="AU106" t="inlineStr">
        <is>
          <t>4924721893:ger</t>
        </is>
      </c>
      <c r="AV106" t="inlineStr">
        <is>
          <t>802031</t>
        </is>
      </c>
      <c r="AW106" t="inlineStr">
        <is>
          <t>991005356889702656</t>
        </is>
      </c>
      <c r="AX106" t="inlineStr">
        <is>
          <t>991005356889702656</t>
        </is>
      </c>
      <c r="AY106" t="inlineStr">
        <is>
          <t>2270552310002656</t>
        </is>
      </c>
      <c r="AZ106" t="inlineStr">
        <is>
          <t>BOOK</t>
        </is>
      </c>
      <c r="BC106" t="inlineStr">
        <is>
          <t>32285002779543</t>
        </is>
      </c>
      <c r="BD106" t="inlineStr">
        <is>
          <t>893514530</t>
        </is>
      </c>
    </row>
    <row r="107">
      <c r="A107" t="inlineStr">
        <is>
          <t>No</t>
        </is>
      </c>
      <c r="B107" t="inlineStr">
        <is>
          <t>QD151 .G52 NO. 14 PT. C1</t>
        </is>
      </c>
      <c r="C107" t="inlineStr">
        <is>
          <t>0                      QD 0151000G  52                                                      NO. 14 PT. C1</t>
        </is>
      </c>
      <c r="D107" t="inlineStr">
        <is>
          <t>Gmelins Handbuch der anorganischen chemie.</t>
        </is>
      </c>
      <c r="E107" t="inlineStr">
        <is>
          <t>NO. 14 PT. C1*</t>
        </is>
      </c>
      <c r="F107" t="inlineStr">
        <is>
          <t>Yes</t>
        </is>
      </c>
      <c r="G107" t="inlineStr">
        <is>
          <t>1</t>
        </is>
      </c>
      <c r="H107" t="inlineStr">
        <is>
          <t>No</t>
        </is>
      </c>
      <c r="I107" t="inlineStr">
        <is>
          <t>No</t>
        </is>
      </c>
      <c r="J107" t="inlineStr">
        <is>
          <t>0</t>
        </is>
      </c>
      <c r="L107" t="inlineStr">
        <is>
          <t>Leipzig-Berlin, Verlag Chemie g.m.b.h., 1924-</t>
        </is>
      </c>
      <c r="M107" t="inlineStr">
        <is>
          <t>1924</t>
        </is>
      </c>
      <c r="N107" t="inlineStr">
        <is>
          <t>8. aufl. Hrsg. von der Deutschen chemischen gesellschaft, bearb. von R.J. Meyer, unter beratender mitwirkung von Franz Peters.</t>
        </is>
      </c>
      <c r="O107" t="inlineStr">
        <is>
          <t>ger</t>
        </is>
      </c>
      <c r="P107" t="inlineStr">
        <is>
          <t xml:space="preserve">xx </t>
        </is>
      </c>
      <c r="R107" t="inlineStr">
        <is>
          <t xml:space="preserve">QD </t>
        </is>
      </c>
      <c r="S107" t="n">
        <v>1</v>
      </c>
      <c r="T107" t="n">
        <v>324</v>
      </c>
      <c r="U107" t="inlineStr">
        <is>
          <t>1998-07-27</t>
        </is>
      </c>
      <c r="V107" t="inlineStr">
        <is>
          <t>1998-07-28</t>
        </is>
      </c>
      <c r="W107" t="inlineStr">
        <is>
          <t>1997-06-02</t>
        </is>
      </c>
      <c r="X107" t="inlineStr">
        <is>
          <t>1998-06-24</t>
        </is>
      </c>
      <c r="Y107" t="n">
        <v>259</v>
      </c>
      <c r="Z107" t="n">
        <v>221</v>
      </c>
      <c r="AA107" t="n">
        <v>223</v>
      </c>
      <c r="AB107" t="n">
        <v>2</v>
      </c>
      <c r="AC107" t="n">
        <v>2</v>
      </c>
      <c r="AD107" t="n">
        <v>10</v>
      </c>
      <c r="AE107" t="n">
        <v>10</v>
      </c>
      <c r="AF107" t="n">
        <v>2</v>
      </c>
      <c r="AG107" t="n">
        <v>2</v>
      </c>
      <c r="AH107" t="n">
        <v>2</v>
      </c>
      <c r="AI107" t="n">
        <v>2</v>
      </c>
      <c r="AJ107" t="n">
        <v>8</v>
      </c>
      <c r="AK107" t="n">
        <v>8</v>
      </c>
      <c r="AL107" t="n">
        <v>1</v>
      </c>
      <c r="AM107" t="n">
        <v>1</v>
      </c>
      <c r="AN107" t="n">
        <v>0</v>
      </c>
      <c r="AO107" t="n">
        <v>0</v>
      </c>
      <c r="AP107" t="inlineStr">
        <is>
          <t>No</t>
        </is>
      </c>
      <c r="AQ107" t="inlineStr">
        <is>
          <t>Yes</t>
        </is>
      </c>
      <c r="AR107">
        <f>HYPERLINK("http://catalog.hathitrust.org/Record/009932175","HathiTrust Record")</f>
        <v/>
      </c>
      <c r="AS107">
        <f>HYPERLINK("https://creighton-primo.hosted.exlibrisgroup.com/primo-explore/search?tab=default_tab&amp;search_scope=EVERYTHING&amp;vid=01CRU&amp;lang=en_US&amp;offset=0&amp;query=any,contains,991005356889702656","Catalog Record")</f>
        <v/>
      </c>
      <c r="AT107">
        <f>HYPERLINK("http://www.worldcat.org/oclc/802031","WorldCat Record")</f>
        <v/>
      </c>
      <c r="AU107" t="inlineStr">
        <is>
          <t>4924721893:ger</t>
        </is>
      </c>
      <c r="AV107" t="inlineStr">
        <is>
          <t>802031</t>
        </is>
      </c>
      <c r="AW107" t="inlineStr">
        <is>
          <t>991005356889702656</t>
        </is>
      </c>
      <c r="AX107" t="inlineStr">
        <is>
          <t>991005356889702656</t>
        </is>
      </c>
      <c r="AY107" t="inlineStr">
        <is>
          <t>2270552310002656</t>
        </is>
      </c>
      <c r="AZ107" t="inlineStr">
        <is>
          <t>BOOK</t>
        </is>
      </c>
      <c r="BC107" t="inlineStr">
        <is>
          <t>32285002779550</t>
        </is>
      </c>
      <c r="BD107" t="inlineStr">
        <is>
          <t>893533649</t>
        </is>
      </c>
    </row>
    <row r="108">
      <c r="A108" t="inlineStr">
        <is>
          <t>No</t>
        </is>
      </c>
      <c r="B108" t="inlineStr">
        <is>
          <t>QD151 .G52 NO. 14 PT. C2</t>
        </is>
      </c>
      <c r="C108" t="inlineStr">
        <is>
          <t>0                      QD 0151000G  52                                                      NO. 14 PT. C2</t>
        </is>
      </c>
      <c r="D108" t="inlineStr">
        <is>
          <t>Gmelins Handbuch der anorganischen chemie.</t>
        </is>
      </c>
      <c r="E108" t="inlineStr">
        <is>
          <t>NO. 14 PT. C2*</t>
        </is>
      </c>
      <c r="F108" t="inlineStr">
        <is>
          <t>Yes</t>
        </is>
      </c>
      <c r="G108" t="inlineStr">
        <is>
          <t>1</t>
        </is>
      </c>
      <c r="H108" t="inlineStr">
        <is>
          <t>No</t>
        </is>
      </c>
      <c r="I108" t="inlineStr">
        <is>
          <t>No</t>
        </is>
      </c>
      <c r="J108" t="inlineStr">
        <is>
          <t>0</t>
        </is>
      </c>
      <c r="L108" t="inlineStr">
        <is>
          <t>Leipzig-Berlin, Verlag Chemie g.m.b.h., 1924-</t>
        </is>
      </c>
      <c r="M108" t="inlineStr">
        <is>
          <t>1924</t>
        </is>
      </c>
      <c r="N108" t="inlineStr">
        <is>
          <t>8. aufl. Hrsg. von der Deutschen chemischen gesellschaft, bearb. von R.J. Meyer, unter beratender mitwirkung von Franz Peters.</t>
        </is>
      </c>
      <c r="O108" t="inlineStr">
        <is>
          <t>ger</t>
        </is>
      </c>
      <c r="P108" t="inlineStr">
        <is>
          <t xml:space="preserve">xx </t>
        </is>
      </c>
      <c r="R108" t="inlineStr">
        <is>
          <t xml:space="preserve">QD </t>
        </is>
      </c>
      <c r="S108" t="n">
        <v>1</v>
      </c>
      <c r="T108" t="n">
        <v>324</v>
      </c>
      <c r="U108" t="inlineStr">
        <is>
          <t>1998-07-27</t>
        </is>
      </c>
      <c r="V108" t="inlineStr">
        <is>
          <t>1998-07-28</t>
        </is>
      </c>
      <c r="W108" t="inlineStr">
        <is>
          <t>1997-06-02</t>
        </is>
      </c>
      <c r="X108" t="inlineStr">
        <is>
          <t>1998-06-24</t>
        </is>
      </c>
      <c r="Y108" t="n">
        <v>259</v>
      </c>
      <c r="Z108" t="n">
        <v>221</v>
      </c>
      <c r="AA108" t="n">
        <v>223</v>
      </c>
      <c r="AB108" t="n">
        <v>2</v>
      </c>
      <c r="AC108" t="n">
        <v>2</v>
      </c>
      <c r="AD108" t="n">
        <v>10</v>
      </c>
      <c r="AE108" t="n">
        <v>10</v>
      </c>
      <c r="AF108" t="n">
        <v>2</v>
      </c>
      <c r="AG108" t="n">
        <v>2</v>
      </c>
      <c r="AH108" t="n">
        <v>2</v>
      </c>
      <c r="AI108" t="n">
        <v>2</v>
      </c>
      <c r="AJ108" t="n">
        <v>8</v>
      </c>
      <c r="AK108" t="n">
        <v>8</v>
      </c>
      <c r="AL108" t="n">
        <v>1</v>
      </c>
      <c r="AM108" t="n">
        <v>1</v>
      </c>
      <c r="AN108" t="n">
        <v>0</v>
      </c>
      <c r="AO108" t="n">
        <v>0</v>
      </c>
      <c r="AP108" t="inlineStr">
        <is>
          <t>No</t>
        </is>
      </c>
      <c r="AQ108" t="inlineStr">
        <is>
          <t>Yes</t>
        </is>
      </c>
      <c r="AR108">
        <f>HYPERLINK("http://catalog.hathitrust.org/Record/009932175","HathiTrust Record")</f>
        <v/>
      </c>
      <c r="AS108">
        <f>HYPERLINK("https://creighton-primo.hosted.exlibrisgroup.com/primo-explore/search?tab=default_tab&amp;search_scope=EVERYTHING&amp;vid=01CRU&amp;lang=en_US&amp;offset=0&amp;query=any,contains,991005356889702656","Catalog Record")</f>
        <v/>
      </c>
      <c r="AT108">
        <f>HYPERLINK("http://www.worldcat.org/oclc/802031","WorldCat Record")</f>
        <v/>
      </c>
      <c r="AU108" t="inlineStr">
        <is>
          <t>4924721893:ger</t>
        </is>
      </c>
      <c r="AV108" t="inlineStr">
        <is>
          <t>802031</t>
        </is>
      </c>
      <c r="AW108" t="inlineStr">
        <is>
          <t>991005356889702656</t>
        </is>
      </c>
      <c r="AX108" t="inlineStr">
        <is>
          <t>991005356889702656</t>
        </is>
      </c>
      <c r="AY108" t="inlineStr">
        <is>
          <t>2270552310002656</t>
        </is>
      </c>
      <c r="AZ108" t="inlineStr">
        <is>
          <t>BOOK</t>
        </is>
      </c>
      <c r="BC108" t="inlineStr">
        <is>
          <t>32285002779568</t>
        </is>
      </c>
      <c r="BD108" t="inlineStr">
        <is>
          <t>893501781</t>
        </is>
      </c>
    </row>
    <row r="109">
      <c r="A109" t="inlineStr">
        <is>
          <t>No</t>
        </is>
      </c>
      <c r="B109" t="inlineStr">
        <is>
          <t>QD151 .G52 NO. 14 PT. C3</t>
        </is>
      </c>
      <c r="C109" t="inlineStr">
        <is>
          <t>0                      QD 0151000G  52                                                      NO. 14 PT. C3</t>
        </is>
      </c>
      <c r="D109" t="inlineStr">
        <is>
          <t>Gmelins Handbuch der anorganischen chemie.</t>
        </is>
      </c>
      <c r="E109" t="inlineStr">
        <is>
          <t>NO. 14 PT. C3*</t>
        </is>
      </c>
      <c r="F109" t="inlineStr">
        <is>
          <t>Yes</t>
        </is>
      </c>
      <c r="G109" t="inlineStr">
        <is>
          <t>1</t>
        </is>
      </c>
      <c r="H109" t="inlineStr">
        <is>
          <t>No</t>
        </is>
      </c>
      <c r="I109" t="inlineStr">
        <is>
          <t>No</t>
        </is>
      </c>
      <c r="J109" t="inlineStr">
        <is>
          <t>0</t>
        </is>
      </c>
      <c r="L109" t="inlineStr">
        <is>
          <t>Leipzig-Berlin, Verlag Chemie g.m.b.h., 1924-</t>
        </is>
      </c>
      <c r="M109" t="inlineStr">
        <is>
          <t>1924</t>
        </is>
      </c>
      <c r="N109" t="inlineStr">
        <is>
          <t>8. aufl. Hrsg. von der Deutschen chemischen gesellschaft, bearb. von R.J. Meyer, unter beratender mitwirkung von Franz Peters.</t>
        </is>
      </c>
      <c r="O109" t="inlineStr">
        <is>
          <t>ger</t>
        </is>
      </c>
      <c r="P109" t="inlineStr">
        <is>
          <t xml:space="preserve">xx </t>
        </is>
      </c>
      <c r="R109" t="inlineStr">
        <is>
          <t xml:space="preserve">QD </t>
        </is>
      </c>
      <c r="S109" t="n">
        <v>1</v>
      </c>
      <c r="T109" t="n">
        <v>324</v>
      </c>
      <c r="U109" t="inlineStr">
        <is>
          <t>1998-07-27</t>
        </is>
      </c>
      <c r="V109" t="inlineStr">
        <is>
          <t>1998-07-28</t>
        </is>
      </c>
      <c r="W109" t="inlineStr">
        <is>
          <t>1997-06-02</t>
        </is>
      </c>
      <c r="X109" t="inlineStr">
        <is>
          <t>1998-06-24</t>
        </is>
      </c>
      <c r="Y109" t="n">
        <v>259</v>
      </c>
      <c r="Z109" t="n">
        <v>221</v>
      </c>
      <c r="AA109" t="n">
        <v>223</v>
      </c>
      <c r="AB109" t="n">
        <v>2</v>
      </c>
      <c r="AC109" t="n">
        <v>2</v>
      </c>
      <c r="AD109" t="n">
        <v>10</v>
      </c>
      <c r="AE109" t="n">
        <v>10</v>
      </c>
      <c r="AF109" t="n">
        <v>2</v>
      </c>
      <c r="AG109" t="n">
        <v>2</v>
      </c>
      <c r="AH109" t="n">
        <v>2</v>
      </c>
      <c r="AI109" t="n">
        <v>2</v>
      </c>
      <c r="AJ109" t="n">
        <v>8</v>
      </c>
      <c r="AK109" t="n">
        <v>8</v>
      </c>
      <c r="AL109" t="n">
        <v>1</v>
      </c>
      <c r="AM109" t="n">
        <v>1</v>
      </c>
      <c r="AN109" t="n">
        <v>0</v>
      </c>
      <c r="AO109" t="n">
        <v>0</v>
      </c>
      <c r="AP109" t="inlineStr">
        <is>
          <t>No</t>
        </is>
      </c>
      <c r="AQ109" t="inlineStr">
        <is>
          <t>Yes</t>
        </is>
      </c>
      <c r="AR109">
        <f>HYPERLINK("http://catalog.hathitrust.org/Record/009932175","HathiTrust Record")</f>
        <v/>
      </c>
      <c r="AS109">
        <f>HYPERLINK("https://creighton-primo.hosted.exlibrisgroup.com/primo-explore/search?tab=default_tab&amp;search_scope=EVERYTHING&amp;vid=01CRU&amp;lang=en_US&amp;offset=0&amp;query=any,contains,991005356889702656","Catalog Record")</f>
        <v/>
      </c>
      <c r="AT109">
        <f>HYPERLINK("http://www.worldcat.org/oclc/802031","WorldCat Record")</f>
        <v/>
      </c>
      <c r="AU109" t="inlineStr">
        <is>
          <t>4924721893:ger</t>
        </is>
      </c>
      <c r="AV109" t="inlineStr">
        <is>
          <t>802031</t>
        </is>
      </c>
      <c r="AW109" t="inlineStr">
        <is>
          <t>991005356889702656</t>
        </is>
      </c>
      <c r="AX109" t="inlineStr">
        <is>
          <t>991005356889702656</t>
        </is>
      </c>
      <c r="AY109" t="inlineStr">
        <is>
          <t>2270552310002656</t>
        </is>
      </c>
      <c r="AZ109" t="inlineStr">
        <is>
          <t>BOOK</t>
        </is>
      </c>
      <c r="BC109" t="inlineStr">
        <is>
          <t>32285002779576</t>
        </is>
      </c>
      <c r="BD109" t="inlineStr">
        <is>
          <t>893514529</t>
        </is>
      </c>
    </row>
    <row r="110">
      <c r="A110" t="inlineStr">
        <is>
          <t>No</t>
        </is>
      </c>
      <c r="B110" t="inlineStr">
        <is>
          <t>QD151 .G52 NO. 14 PT. C4</t>
        </is>
      </c>
      <c r="C110" t="inlineStr">
        <is>
          <t>0                      QD 0151000G  52                                                      NO. 14 PT. C4</t>
        </is>
      </c>
      <c r="D110" t="inlineStr">
        <is>
          <t>Gmelins Handbuch der anorganischen chemie.</t>
        </is>
      </c>
      <c r="E110" t="inlineStr">
        <is>
          <t>NO. 14 PT. C4*</t>
        </is>
      </c>
      <c r="F110" t="inlineStr">
        <is>
          <t>Yes</t>
        </is>
      </c>
      <c r="G110" t="inlineStr">
        <is>
          <t>1</t>
        </is>
      </c>
      <c r="H110" t="inlineStr">
        <is>
          <t>No</t>
        </is>
      </c>
      <c r="I110" t="inlineStr">
        <is>
          <t>No</t>
        </is>
      </c>
      <c r="J110" t="inlineStr">
        <is>
          <t>0</t>
        </is>
      </c>
      <c r="L110" t="inlineStr">
        <is>
          <t>Leipzig-Berlin, Verlag Chemie g.m.b.h., 1924-</t>
        </is>
      </c>
      <c r="M110" t="inlineStr">
        <is>
          <t>1924</t>
        </is>
      </c>
      <c r="N110" t="inlineStr">
        <is>
          <t>8. aufl. Hrsg. von der Deutschen chemischen gesellschaft, bearb. von R.J. Meyer, unter beratender mitwirkung von Franz Peters.</t>
        </is>
      </c>
      <c r="O110" t="inlineStr">
        <is>
          <t>ger</t>
        </is>
      </c>
      <c r="P110" t="inlineStr">
        <is>
          <t xml:space="preserve">xx </t>
        </is>
      </c>
      <c r="R110" t="inlineStr">
        <is>
          <t xml:space="preserve">QD </t>
        </is>
      </c>
      <c r="S110" t="n">
        <v>1</v>
      </c>
      <c r="T110" t="n">
        <v>324</v>
      </c>
      <c r="U110" t="inlineStr">
        <is>
          <t>1998-07-27</t>
        </is>
      </c>
      <c r="V110" t="inlineStr">
        <is>
          <t>1998-07-28</t>
        </is>
      </c>
      <c r="W110" t="inlineStr">
        <is>
          <t>1997-06-02</t>
        </is>
      </c>
      <c r="X110" t="inlineStr">
        <is>
          <t>1998-06-24</t>
        </is>
      </c>
      <c r="Y110" t="n">
        <v>259</v>
      </c>
      <c r="Z110" t="n">
        <v>221</v>
      </c>
      <c r="AA110" t="n">
        <v>223</v>
      </c>
      <c r="AB110" t="n">
        <v>2</v>
      </c>
      <c r="AC110" t="n">
        <v>2</v>
      </c>
      <c r="AD110" t="n">
        <v>10</v>
      </c>
      <c r="AE110" t="n">
        <v>10</v>
      </c>
      <c r="AF110" t="n">
        <v>2</v>
      </c>
      <c r="AG110" t="n">
        <v>2</v>
      </c>
      <c r="AH110" t="n">
        <v>2</v>
      </c>
      <c r="AI110" t="n">
        <v>2</v>
      </c>
      <c r="AJ110" t="n">
        <v>8</v>
      </c>
      <c r="AK110" t="n">
        <v>8</v>
      </c>
      <c r="AL110" t="n">
        <v>1</v>
      </c>
      <c r="AM110" t="n">
        <v>1</v>
      </c>
      <c r="AN110" t="n">
        <v>0</v>
      </c>
      <c r="AO110" t="n">
        <v>0</v>
      </c>
      <c r="AP110" t="inlineStr">
        <is>
          <t>No</t>
        </is>
      </c>
      <c r="AQ110" t="inlineStr">
        <is>
          <t>Yes</t>
        </is>
      </c>
      <c r="AR110">
        <f>HYPERLINK("http://catalog.hathitrust.org/Record/009932175","HathiTrust Record")</f>
        <v/>
      </c>
      <c r="AS110">
        <f>HYPERLINK("https://creighton-primo.hosted.exlibrisgroup.com/primo-explore/search?tab=default_tab&amp;search_scope=EVERYTHING&amp;vid=01CRU&amp;lang=en_US&amp;offset=0&amp;query=any,contains,991005356889702656","Catalog Record")</f>
        <v/>
      </c>
      <c r="AT110">
        <f>HYPERLINK("http://www.worldcat.org/oclc/802031","WorldCat Record")</f>
        <v/>
      </c>
      <c r="AU110" t="inlineStr">
        <is>
          <t>4924721893:ger</t>
        </is>
      </c>
      <c r="AV110" t="inlineStr">
        <is>
          <t>802031</t>
        </is>
      </c>
      <c r="AW110" t="inlineStr">
        <is>
          <t>991005356889702656</t>
        </is>
      </c>
      <c r="AX110" t="inlineStr">
        <is>
          <t>991005356889702656</t>
        </is>
      </c>
      <c r="AY110" t="inlineStr">
        <is>
          <t>2270552310002656</t>
        </is>
      </c>
      <c r="AZ110" t="inlineStr">
        <is>
          <t>BOOK</t>
        </is>
      </c>
      <c r="BC110" t="inlineStr">
        <is>
          <t>32285002779584</t>
        </is>
      </c>
      <c r="BD110" t="inlineStr">
        <is>
          <t>893501780</t>
        </is>
      </c>
    </row>
    <row r="111">
      <c r="A111" t="inlineStr">
        <is>
          <t>No</t>
        </is>
      </c>
      <c r="B111" t="inlineStr">
        <is>
          <t>QD151 .G52 NO. 14 PT. D1</t>
        </is>
      </c>
      <c r="C111" t="inlineStr">
        <is>
          <t>0                      QD 0151000G  52                                                      NO. 14 PT. D1</t>
        </is>
      </c>
      <c r="D111" t="inlineStr">
        <is>
          <t>Gmelins Handbuch der anorganischen chemie.</t>
        </is>
      </c>
      <c r="E111" t="inlineStr">
        <is>
          <t>NO. 14 PT. D1*</t>
        </is>
      </c>
      <c r="F111" t="inlineStr">
        <is>
          <t>Yes</t>
        </is>
      </c>
      <c r="G111" t="inlineStr">
        <is>
          <t>1</t>
        </is>
      </c>
      <c r="H111" t="inlineStr">
        <is>
          <t>No</t>
        </is>
      </c>
      <c r="I111" t="inlineStr">
        <is>
          <t>No</t>
        </is>
      </c>
      <c r="J111" t="inlineStr">
        <is>
          <t>0</t>
        </is>
      </c>
      <c r="L111" t="inlineStr">
        <is>
          <t>Leipzig-Berlin, Verlag Chemie g.m.b.h., 1924-</t>
        </is>
      </c>
      <c r="M111" t="inlineStr">
        <is>
          <t>1924</t>
        </is>
      </c>
      <c r="N111" t="inlineStr">
        <is>
          <t>8. aufl. Hrsg. von der Deutschen chemischen gesellschaft, bearb. von R.J. Meyer, unter beratender mitwirkung von Franz Peters.</t>
        </is>
      </c>
      <c r="O111" t="inlineStr">
        <is>
          <t>ger</t>
        </is>
      </c>
      <c r="P111" t="inlineStr">
        <is>
          <t xml:space="preserve">xx </t>
        </is>
      </c>
      <c r="R111" t="inlineStr">
        <is>
          <t xml:space="preserve">QD </t>
        </is>
      </c>
      <c r="S111" t="n">
        <v>1</v>
      </c>
      <c r="T111" t="n">
        <v>324</v>
      </c>
      <c r="U111" t="inlineStr">
        <is>
          <t>1998-07-27</t>
        </is>
      </c>
      <c r="V111" t="inlineStr">
        <is>
          <t>1998-07-28</t>
        </is>
      </c>
      <c r="W111" t="inlineStr">
        <is>
          <t>1997-06-02</t>
        </is>
      </c>
      <c r="X111" t="inlineStr">
        <is>
          <t>1998-06-24</t>
        </is>
      </c>
      <c r="Y111" t="n">
        <v>259</v>
      </c>
      <c r="Z111" t="n">
        <v>221</v>
      </c>
      <c r="AA111" t="n">
        <v>223</v>
      </c>
      <c r="AB111" t="n">
        <v>2</v>
      </c>
      <c r="AC111" t="n">
        <v>2</v>
      </c>
      <c r="AD111" t="n">
        <v>10</v>
      </c>
      <c r="AE111" t="n">
        <v>10</v>
      </c>
      <c r="AF111" t="n">
        <v>2</v>
      </c>
      <c r="AG111" t="n">
        <v>2</v>
      </c>
      <c r="AH111" t="n">
        <v>2</v>
      </c>
      <c r="AI111" t="n">
        <v>2</v>
      </c>
      <c r="AJ111" t="n">
        <v>8</v>
      </c>
      <c r="AK111" t="n">
        <v>8</v>
      </c>
      <c r="AL111" t="n">
        <v>1</v>
      </c>
      <c r="AM111" t="n">
        <v>1</v>
      </c>
      <c r="AN111" t="n">
        <v>0</v>
      </c>
      <c r="AO111" t="n">
        <v>0</v>
      </c>
      <c r="AP111" t="inlineStr">
        <is>
          <t>No</t>
        </is>
      </c>
      <c r="AQ111" t="inlineStr">
        <is>
          <t>Yes</t>
        </is>
      </c>
      <c r="AR111">
        <f>HYPERLINK("http://catalog.hathitrust.org/Record/009932175","HathiTrust Record")</f>
        <v/>
      </c>
      <c r="AS111">
        <f>HYPERLINK("https://creighton-primo.hosted.exlibrisgroup.com/primo-explore/search?tab=default_tab&amp;search_scope=EVERYTHING&amp;vid=01CRU&amp;lang=en_US&amp;offset=0&amp;query=any,contains,991005356889702656","Catalog Record")</f>
        <v/>
      </c>
      <c r="AT111">
        <f>HYPERLINK("http://www.worldcat.org/oclc/802031","WorldCat Record")</f>
        <v/>
      </c>
      <c r="AU111" t="inlineStr">
        <is>
          <t>4924721893:ger</t>
        </is>
      </c>
      <c r="AV111" t="inlineStr">
        <is>
          <t>802031</t>
        </is>
      </c>
      <c r="AW111" t="inlineStr">
        <is>
          <t>991005356889702656</t>
        </is>
      </c>
      <c r="AX111" t="inlineStr">
        <is>
          <t>991005356889702656</t>
        </is>
      </c>
      <c r="AY111" t="inlineStr">
        <is>
          <t>2270552310002656</t>
        </is>
      </c>
      <c r="AZ111" t="inlineStr">
        <is>
          <t>BOOK</t>
        </is>
      </c>
      <c r="BC111" t="inlineStr">
        <is>
          <t>32285002779592</t>
        </is>
      </c>
      <c r="BD111" t="inlineStr">
        <is>
          <t>893520968</t>
        </is>
      </c>
    </row>
    <row r="112">
      <c r="A112" t="inlineStr">
        <is>
          <t>No</t>
        </is>
      </c>
      <c r="B112" t="inlineStr">
        <is>
          <t>QD151 .G52 NO. 14 PT. D2</t>
        </is>
      </c>
      <c r="C112" t="inlineStr">
        <is>
          <t>0                      QD 0151000G  52                                                      NO. 14 PT. D2</t>
        </is>
      </c>
      <c r="D112" t="inlineStr">
        <is>
          <t>Gmelins Handbuch der anorganischen chemie.</t>
        </is>
      </c>
      <c r="E112" t="inlineStr">
        <is>
          <t>NO. 14 PT. D2*</t>
        </is>
      </c>
      <c r="F112" t="inlineStr">
        <is>
          <t>Yes</t>
        </is>
      </c>
      <c r="G112" t="inlineStr">
        <is>
          <t>1</t>
        </is>
      </c>
      <c r="H112" t="inlineStr">
        <is>
          <t>No</t>
        </is>
      </c>
      <c r="I112" t="inlineStr">
        <is>
          <t>No</t>
        </is>
      </c>
      <c r="J112" t="inlineStr">
        <is>
          <t>0</t>
        </is>
      </c>
      <c r="L112" t="inlineStr">
        <is>
          <t>Leipzig-Berlin, Verlag Chemie g.m.b.h., 1924-</t>
        </is>
      </c>
      <c r="M112" t="inlineStr">
        <is>
          <t>1924</t>
        </is>
      </c>
      <c r="N112" t="inlineStr">
        <is>
          <t>8. aufl. Hrsg. von der Deutschen chemischen gesellschaft, bearb. von R.J. Meyer, unter beratender mitwirkung von Franz Peters.</t>
        </is>
      </c>
      <c r="O112" t="inlineStr">
        <is>
          <t>ger</t>
        </is>
      </c>
      <c r="P112" t="inlineStr">
        <is>
          <t xml:space="preserve">xx </t>
        </is>
      </c>
      <c r="R112" t="inlineStr">
        <is>
          <t xml:space="preserve">QD </t>
        </is>
      </c>
      <c r="S112" t="n">
        <v>1</v>
      </c>
      <c r="T112" t="n">
        <v>324</v>
      </c>
      <c r="U112" t="inlineStr">
        <is>
          <t>1998-07-27</t>
        </is>
      </c>
      <c r="V112" t="inlineStr">
        <is>
          <t>1998-07-28</t>
        </is>
      </c>
      <c r="W112" t="inlineStr">
        <is>
          <t>1997-06-02</t>
        </is>
      </c>
      <c r="X112" t="inlineStr">
        <is>
          <t>1998-06-24</t>
        </is>
      </c>
      <c r="Y112" t="n">
        <v>259</v>
      </c>
      <c r="Z112" t="n">
        <v>221</v>
      </c>
      <c r="AA112" t="n">
        <v>223</v>
      </c>
      <c r="AB112" t="n">
        <v>2</v>
      </c>
      <c r="AC112" t="n">
        <v>2</v>
      </c>
      <c r="AD112" t="n">
        <v>10</v>
      </c>
      <c r="AE112" t="n">
        <v>10</v>
      </c>
      <c r="AF112" t="n">
        <v>2</v>
      </c>
      <c r="AG112" t="n">
        <v>2</v>
      </c>
      <c r="AH112" t="n">
        <v>2</v>
      </c>
      <c r="AI112" t="n">
        <v>2</v>
      </c>
      <c r="AJ112" t="n">
        <v>8</v>
      </c>
      <c r="AK112" t="n">
        <v>8</v>
      </c>
      <c r="AL112" t="n">
        <v>1</v>
      </c>
      <c r="AM112" t="n">
        <v>1</v>
      </c>
      <c r="AN112" t="n">
        <v>0</v>
      </c>
      <c r="AO112" t="n">
        <v>0</v>
      </c>
      <c r="AP112" t="inlineStr">
        <is>
          <t>No</t>
        </is>
      </c>
      <c r="AQ112" t="inlineStr">
        <is>
          <t>Yes</t>
        </is>
      </c>
      <c r="AR112">
        <f>HYPERLINK("http://catalog.hathitrust.org/Record/009932175","HathiTrust Record")</f>
        <v/>
      </c>
      <c r="AS112">
        <f>HYPERLINK("https://creighton-primo.hosted.exlibrisgroup.com/primo-explore/search?tab=default_tab&amp;search_scope=EVERYTHING&amp;vid=01CRU&amp;lang=en_US&amp;offset=0&amp;query=any,contains,991005356889702656","Catalog Record")</f>
        <v/>
      </c>
      <c r="AT112">
        <f>HYPERLINK("http://www.worldcat.org/oclc/802031","WorldCat Record")</f>
        <v/>
      </c>
      <c r="AU112" t="inlineStr">
        <is>
          <t>4924721893:ger</t>
        </is>
      </c>
      <c r="AV112" t="inlineStr">
        <is>
          <t>802031</t>
        </is>
      </c>
      <c r="AW112" t="inlineStr">
        <is>
          <t>991005356889702656</t>
        </is>
      </c>
      <c r="AX112" t="inlineStr">
        <is>
          <t>991005356889702656</t>
        </is>
      </c>
      <c r="AY112" t="inlineStr">
        <is>
          <t>2270552310002656</t>
        </is>
      </c>
      <c r="AZ112" t="inlineStr">
        <is>
          <t>BOOK</t>
        </is>
      </c>
      <c r="BC112" t="inlineStr">
        <is>
          <t>32285002779600</t>
        </is>
      </c>
      <c r="BD112" t="inlineStr">
        <is>
          <t>893514528</t>
        </is>
      </c>
    </row>
    <row r="113">
      <c r="A113" t="inlineStr">
        <is>
          <t>No</t>
        </is>
      </c>
      <c r="B113" t="inlineStr">
        <is>
          <t>QD151 .G52 NO. 14 PT. D3</t>
        </is>
      </c>
      <c r="C113" t="inlineStr">
        <is>
          <t>0                      QD 0151000G  52                                                      NO. 14 PT. D3</t>
        </is>
      </c>
      <c r="D113" t="inlineStr">
        <is>
          <t>Gmelins Handbuch der anorganischen chemie.</t>
        </is>
      </c>
      <c r="E113" t="inlineStr">
        <is>
          <t>NO. 14 PT. D3*</t>
        </is>
      </c>
      <c r="F113" t="inlineStr">
        <is>
          <t>Yes</t>
        </is>
      </c>
      <c r="G113" t="inlineStr">
        <is>
          <t>1</t>
        </is>
      </c>
      <c r="H113" t="inlineStr">
        <is>
          <t>No</t>
        </is>
      </c>
      <c r="I113" t="inlineStr">
        <is>
          <t>No</t>
        </is>
      </c>
      <c r="J113" t="inlineStr">
        <is>
          <t>0</t>
        </is>
      </c>
      <c r="L113" t="inlineStr">
        <is>
          <t>Leipzig-Berlin, Verlag Chemie g.m.b.h., 1924-</t>
        </is>
      </c>
      <c r="M113" t="inlineStr">
        <is>
          <t>1924</t>
        </is>
      </c>
      <c r="N113" t="inlineStr">
        <is>
          <t>8. aufl. Hrsg. von der Deutschen chemischen gesellschaft, bearb. von R.J. Meyer, unter beratender mitwirkung von Franz Peters.</t>
        </is>
      </c>
      <c r="O113" t="inlineStr">
        <is>
          <t>ger</t>
        </is>
      </c>
      <c r="P113" t="inlineStr">
        <is>
          <t xml:space="preserve">xx </t>
        </is>
      </c>
      <c r="R113" t="inlineStr">
        <is>
          <t xml:space="preserve">QD </t>
        </is>
      </c>
      <c r="S113" t="n">
        <v>1</v>
      </c>
      <c r="T113" t="n">
        <v>324</v>
      </c>
      <c r="U113" t="inlineStr">
        <is>
          <t>1998-07-27</t>
        </is>
      </c>
      <c r="V113" t="inlineStr">
        <is>
          <t>1998-07-28</t>
        </is>
      </c>
      <c r="W113" t="inlineStr">
        <is>
          <t>1997-06-02</t>
        </is>
      </c>
      <c r="X113" t="inlineStr">
        <is>
          <t>1998-06-24</t>
        </is>
      </c>
      <c r="Y113" t="n">
        <v>259</v>
      </c>
      <c r="Z113" t="n">
        <v>221</v>
      </c>
      <c r="AA113" t="n">
        <v>223</v>
      </c>
      <c r="AB113" t="n">
        <v>2</v>
      </c>
      <c r="AC113" t="n">
        <v>2</v>
      </c>
      <c r="AD113" t="n">
        <v>10</v>
      </c>
      <c r="AE113" t="n">
        <v>10</v>
      </c>
      <c r="AF113" t="n">
        <v>2</v>
      </c>
      <c r="AG113" t="n">
        <v>2</v>
      </c>
      <c r="AH113" t="n">
        <v>2</v>
      </c>
      <c r="AI113" t="n">
        <v>2</v>
      </c>
      <c r="AJ113" t="n">
        <v>8</v>
      </c>
      <c r="AK113" t="n">
        <v>8</v>
      </c>
      <c r="AL113" t="n">
        <v>1</v>
      </c>
      <c r="AM113" t="n">
        <v>1</v>
      </c>
      <c r="AN113" t="n">
        <v>0</v>
      </c>
      <c r="AO113" t="n">
        <v>0</v>
      </c>
      <c r="AP113" t="inlineStr">
        <is>
          <t>No</t>
        </is>
      </c>
      <c r="AQ113" t="inlineStr">
        <is>
          <t>Yes</t>
        </is>
      </c>
      <c r="AR113">
        <f>HYPERLINK("http://catalog.hathitrust.org/Record/009932175","HathiTrust Record")</f>
        <v/>
      </c>
      <c r="AS113">
        <f>HYPERLINK("https://creighton-primo.hosted.exlibrisgroup.com/primo-explore/search?tab=default_tab&amp;search_scope=EVERYTHING&amp;vid=01CRU&amp;lang=en_US&amp;offset=0&amp;query=any,contains,991005356889702656","Catalog Record")</f>
        <v/>
      </c>
      <c r="AT113">
        <f>HYPERLINK("http://www.worldcat.org/oclc/802031","WorldCat Record")</f>
        <v/>
      </c>
      <c r="AU113" t="inlineStr">
        <is>
          <t>4924721893:ger</t>
        </is>
      </c>
      <c r="AV113" t="inlineStr">
        <is>
          <t>802031</t>
        </is>
      </c>
      <c r="AW113" t="inlineStr">
        <is>
          <t>991005356889702656</t>
        </is>
      </c>
      <c r="AX113" t="inlineStr">
        <is>
          <t>991005356889702656</t>
        </is>
      </c>
      <c r="AY113" t="inlineStr">
        <is>
          <t>2270552310002656</t>
        </is>
      </c>
      <c r="AZ113" t="inlineStr">
        <is>
          <t>BOOK</t>
        </is>
      </c>
      <c r="BC113" t="inlineStr">
        <is>
          <t>32285002779618</t>
        </is>
      </c>
      <c r="BD113" t="inlineStr">
        <is>
          <t>893520967</t>
        </is>
      </c>
    </row>
    <row r="114">
      <c r="A114" t="inlineStr">
        <is>
          <t>No</t>
        </is>
      </c>
      <c r="B114" t="inlineStr">
        <is>
          <t>QD151 .G52 NO. 14 PT. D4</t>
        </is>
      </c>
      <c r="C114" t="inlineStr">
        <is>
          <t>0                      QD 0151000G  52                                                      NO. 14 PT. D4</t>
        </is>
      </c>
      <c r="D114" t="inlineStr">
        <is>
          <t>Gmelins Handbuch der anorganischen chemie.</t>
        </is>
      </c>
      <c r="E114" t="inlineStr">
        <is>
          <t>NO. 14 PT. D4*</t>
        </is>
      </c>
      <c r="F114" t="inlineStr">
        <is>
          <t>Yes</t>
        </is>
      </c>
      <c r="G114" t="inlineStr">
        <is>
          <t>1</t>
        </is>
      </c>
      <c r="H114" t="inlineStr">
        <is>
          <t>No</t>
        </is>
      </c>
      <c r="I114" t="inlineStr">
        <is>
          <t>No</t>
        </is>
      </c>
      <c r="J114" t="inlineStr">
        <is>
          <t>0</t>
        </is>
      </c>
      <c r="L114" t="inlineStr">
        <is>
          <t>Leipzig-Berlin, Verlag Chemie g.m.b.h., 1924-</t>
        </is>
      </c>
      <c r="M114" t="inlineStr">
        <is>
          <t>1924</t>
        </is>
      </c>
      <c r="N114" t="inlineStr">
        <is>
          <t>8. aufl. Hrsg. von der Deutschen chemischen gesellschaft, bearb. von R.J. Meyer, unter beratender mitwirkung von Franz Peters.</t>
        </is>
      </c>
      <c r="O114" t="inlineStr">
        <is>
          <t>ger</t>
        </is>
      </c>
      <c r="P114" t="inlineStr">
        <is>
          <t xml:space="preserve">xx </t>
        </is>
      </c>
      <c r="R114" t="inlineStr">
        <is>
          <t xml:space="preserve">QD </t>
        </is>
      </c>
      <c r="S114" t="n">
        <v>1</v>
      </c>
      <c r="T114" t="n">
        <v>324</v>
      </c>
      <c r="U114" t="inlineStr">
        <is>
          <t>1998-07-27</t>
        </is>
      </c>
      <c r="V114" t="inlineStr">
        <is>
          <t>1998-07-28</t>
        </is>
      </c>
      <c r="W114" t="inlineStr">
        <is>
          <t>1997-06-02</t>
        </is>
      </c>
      <c r="X114" t="inlineStr">
        <is>
          <t>1998-06-24</t>
        </is>
      </c>
      <c r="Y114" t="n">
        <v>259</v>
      </c>
      <c r="Z114" t="n">
        <v>221</v>
      </c>
      <c r="AA114" t="n">
        <v>223</v>
      </c>
      <c r="AB114" t="n">
        <v>2</v>
      </c>
      <c r="AC114" t="n">
        <v>2</v>
      </c>
      <c r="AD114" t="n">
        <v>10</v>
      </c>
      <c r="AE114" t="n">
        <v>10</v>
      </c>
      <c r="AF114" t="n">
        <v>2</v>
      </c>
      <c r="AG114" t="n">
        <v>2</v>
      </c>
      <c r="AH114" t="n">
        <v>2</v>
      </c>
      <c r="AI114" t="n">
        <v>2</v>
      </c>
      <c r="AJ114" t="n">
        <v>8</v>
      </c>
      <c r="AK114" t="n">
        <v>8</v>
      </c>
      <c r="AL114" t="n">
        <v>1</v>
      </c>
      <c r="AM114" t="n">
        <v>1</v>
      </c>
      <c r="AN114" t="n">
        <v>0</v>
      </c>
      <c r="AO114" t="n">
        <v>0</v>
      </c>
      <c r="AP114" t="inlineStr">
        <is>
          <t>No</t>
        </is>
      </c>
      <c r="AQ114" t="inlineStr">
        <is>
          <t>Yes</t>
        </is>
      </c>
      <c r="AR114">
        <f>HYPERLINK("http://catalog.hathitrust.org/Record/009932175","HathiTrust Record")</f>
        <v/>
      </c>
      <c r="AS114">
        <f>HYPERLINK("https://creighton-primo.hosted.exlibrisgroup.com/primo-explore/search?tab=default_tab&amp;search_scope=EVERYTHING&amp;vid=01CRU&amp;lang=en_US&amp;offset=0&amp;query=any,contains,991005356889702656","Catalog Record")</f>
        <v/>
      </c>
      <c r="AT114">
        <f>HYPERLINK("http://www.worldcat.org/oclc/802031","WorldCat Record")</f>
        <v/>
      </c>
      <c r="AU114" t="inlineStr">
        <is>
          <t>4924721893:ger</t>
        </is>
      </c>
      <c r="AV114" t="inlineStr">
        <is>
          <t>802031</t>
        </is>
      </c>
      <c r="AW114" t="inlineStr">
        <is>
          <t>991005356889702656</t>
        </is>
      </c>
      <c r="AX114" t="inlineStr">
        <is>
          <t>991005356889702656</t>
        </is>
      </c>
      <c r="AY114" t="inlineStr">
        <is>
          <t>2270552310002656</t>
        </is>
      </c>
      <c r="AZ114" t="inlineStr">
        <is>
          <t>BOOK</t>
        </is>
      </c>
      <c r="BC114" t="inlineStr">
        <is>
          <t>32285002779634</t>
        </is>
      </c>
      <c r="BD114" t="inlineStr">
        <is>
          <t>893501779</t>
        </is>
      </c>
    </row>
    <row r="115">
      <c r="A115" t="inlineStr">
        <is>
          <t>No</t>
        </is>
      </c>
      <c r="B115" t="inlineStr">
        <is>
          <t>QD151 .G52 NO. 14 PT. D5</t>
        </is>
      </c>
      <c r="C115" t="inlineStr">
        <is>
          <t>0                      QD 0151000G  52                                                      NO. 14 PT. D5</t>
        </is>
      </c>
      <c r="D115" t="inlineStr">
        <is>
          <t>Gmelins Handbuch der anorganischen chemie.</t>
        </is>
      </c>
      <c r="E115" t="inlineStr">
        <is>
          <t>NO. 14 PT. D5*</t>
        </is>
      </c>
      <c r="F115" t="inlineStr">
        <is>
          <t>Yes</t>
        </is>
      </c>
      <c r="G115" t="inlineStr">
        <is>
          <t>1</t>
        </is>
      </c>
      <c r="H115" t="inlineStr">
        <is>
          <t>No</t>
        </is>
      </c>
      <c r="I115" t="inlineStr">
        <is>
          <t>No</t>
        </is>
      </c>
      <c r="J115" t="inlineStr">
        <is>
          <t>0</t>
        </is>
      </c>
      <c r="L115" t="inlineStr">
        <is>
          <t>Leipzig-Berlin, Verlag Chemie g.m.b.h., 1924-</t>
        </is>
      </c>
      <c r="M115" t="inlineStr">
        <is>
          <t>1924</t>
        </is>
      </c>
      <c r="N115" t="inlineStr">
        <is>
          <t>8. aufl. Hrsg. von der Deutschen chemischen gesellschaft, bearb. von R.J. Meyer, unter beratender mitwirkung von Franz Peters.</t>
        </is>
      </c>
      <c r="O115" t="inlineStr">
        <is>
          <t>ger</t>
        </is>
      </c>
      <c r="P115" t="inlineStr">
        <is>
          <t xml:space="preserve">xx </t>
        </is>
      </c>
      <c r="R115" t="inlineStr">
        <is>
          <t xml:space="preserve">QD </t>
        </is>
      </c>
      <c r="S115" t="n">
        <v>1</v>
      </c>
      <c r="T115" t="n">
        <v>324</v>
      </c>
      <c r="U115" t="inlineStr">
        <is>
          <t>1998-07-27</t>
        </is>
      </c>
      <c r="V115" t="inlineStr">
        <is>
          <t>1998-07-28</t>
        </is>
      </c>
      <c r="W115" t="inlineStr">
        <is>
          <t>1997-06-02</t>
        </is>
      </c>
      <c r="X115" t="inlineStr">
        <is>
          <t>1998-06-24</t>
        </is>
      </c>
      <c r="Y115" t="n">
        <v>259</v>
      </c>
      <c r="Z115" t="n">
        <v>221</v>
      </c>
      <c r="AA115" t="n">
        <v>223</v>
      </c>
      <c r="AB115" t="n">
        <v>2</v>
      </c>
      <c r="AC115" t="n">
        <v>2</v>
      </c>
      <c r="AD115" t="n">
        <v>10</v>
      </c>
      <c r="AE115" t="n">
        <v>10</v>
      </c>
      <c r="AF115" t="n">
        <v>2</v>
      </c>
      <c r="AG115" t="n">
        <v>2</v>
      </c>
      <c r="AH115" t="n">
        <v>2</v>
      </c>
      <c r="AI115" t="n">
        <v>2</v>
      </c>
      <c r="AJ115" t="n">
        <v>8</v>
      </c>
      <c r="AK115" t="n">
        <v>8</v>
      </c>
      <c r="AL115" t="n">
        <v>1</v>
      </c>
      <c r="AM115" t="n">
        <v>1</v>
      </c>
      <c r="AN115" t="n">
        <v>0</v>
      </c>
      <c r="AO115" t="n">
        <v>0</v>
      </c>
      <c r="AP115" t="inlineStr">
        <is>
          <t>No</t>
        </is>
      </c>
      <c r="AQ115" t="inlineStr">
        <is>
          <t>Yes</t>
        </is>
      </c>
      <c r="AR115">
        <f>HYPERLINK("http://catalog.hathitrust.org/Record/009932175","HathiTrust Record")</f>
        <v/>
      </c>
      <c r="AS115">
        <f>HYPERLINK("https://creighton-primo.hosted.exlibrisgroup.com/primo-explore/search?tab=default_tab&amp;search_scope=EVERYTHING&amp;vid=01CRU&amp;lang=en_US&amp;offset=0&amp;query=any,contains,991005356889702656","Catalog Record")</f>
        <v/>
      </c>
      <c r="AT115">
        <f>HYPERLINK("http://www.worldcat.org/oclc/802031","WorldCat Record")</f>
        <v/>
      </c>
      <c r="AU115" t="inlineStr">
        <is>
          <t>4924721893:ger</t>
        </is>
      </c>
      <c r="AV115" t="inlineStr">
        <is>
          <t>802031</t>
        </is>
      </c>
      <c r="AW115" t="inlineStr">
        <is>
          <t>991005356889702656</t>
        </is>
      </c>
      <c r="AX115" t="inlineStr">
        <is>
          <t>991005356889702656</t>
        </is>
      </c>
      <c r="AY115" t="inlineStr">
        <is>
          <t>2270552310002656</t>
        </is>
      </c>
      <c r="AZ115" t="inlineStr">
        <is>
          <t>BOOK</t>
        </is>
      </c>
      <c r="BC115" t="inlineStr">
        <is>
          <t>32285002779626</t>
        </is>
      </c>
      <c r="BD115" t="inlineStr">
        <is>
          <t>893508060</t>
        </is>
      </c>
    </row>
    <row r="116">
      <c r="A116" t="inlineStr">
        <is>
          <t>No</t>
        </is>
      </c>
      <c r="B116" t="inlineStr">
        <is>
          <t>QD151 .G52 NO. 14 PT. D6</t>
        </is>
      </c>
      <c r="C116" t="inlineStr">
        <is>
          <t>0                      QD 0151000G  52                                                      NO. 14 PT. D6</t>
        </is>
      </c>
      <c r="D116" t="inlineStr">
        <is>
          <t>Gmelins Handbuch der anorganischen chemie.</t>
        </is>
      </c>
      <c r="E116" t="inlineStr">
        <is>
          <t>NO. 14 PT. D6*</t>
        </is>
      </c>
      <c r="F116" t="inlineStr">
        <is>
          <t>Yes</t>
        </is>
      </c>
      <c r="G116" t="inlineStr">
        <is>
          <t>1</t>
        </is>
      </c>
      <c r="H116" t="inlineStr">
        <is>
          <t>No</t>
        </is>
      </c>
      <c r="I116" t="inlineStr">
        <is>
          <t>No</t>
        </is>
      </c>
      <c r="J116" t="inlineStr">
        <is>
          <t>0</t>
        </is>
      </c>
      <c r="L116" t="inlineStr">
        <is>
          <t>Leipzig-Berlin, Verlag Chemie g.m.b.h., 1924-</t>
        </is>
      </c>
      <c r="M116" t="inlineStr">
        <is>
          <t>1924</t>
        </is>
      </c>
      <c r="N116" t="inlineStr">
        <is>
          <t>8. aufl. Hrsg. von der Deutschen chemischen gesellschaft, bearb. von R.J. Meyer, unter beratender mitwirkung von Franz Peters.</t>
        </is>
      </c>
      <c r="O116" t="inlineStr">
        <is>
          <t>ger</t>
        </is>
      </c>
      <c r="P116" t="inlineStr">
        <is>
          <t xml:space="preserve">xx </t>
        </is>
      </c>
      <c r="R116" t="inlineStr">
        <is>
          <t xml:space="preserve">QD </t>
        </is>
      </c>
      <c r="S116" t="n">
        <v>1</v>
      </c>
      <c r="T116" t="n">
        <v>324</v>
      </c>
      <c r="U116" t="inlineStr">
        <is>
          <t>1998-07-27</t>
        </is>
      </c>
      <c r="V116" t="inlineStr">
        <is>
          <t>1998-07-28</t>
        </is>
      </c>
      <c r="W116" t="inlineStr">
        <is>
          <t>1997-06-02</t>
        </is>
      </c>
      <c r="X116" t="inlineStr">
        <is>
          <t>1998-06-24</t>
        </is>
      </c>
      <c r="Y116" t="n">
        <v>259</v>
      </c>
      <c r="Z116" t="n">
        <v>221</v>
      </c>
      <c r="AA116" t="n">
        <v>223</v>
      </c>
      <c r="AB116" t="n">
        <v>2</v>
      </c>
      <c r="AC116" t="n">
        <v>2</v>
      </c>
      <c r="AD116" t="n">
        <v>10</v>
      </c>
      <c r="AE116" t="n">
        <v>10</v>
      </c>
      <c r="AF116" t="n">
        <v>2</v>
      </c>
      <c r="AG116" t="n">
        <v>2</v>
      </c>
      <c r="AH116" t="n">
        <v>2</v>
      </c>
      <c r="AI116" t="n">
        <v>2</v>
      </c>
      <c r="AJ116" t="n">
        <v>8</v>
      </c>
      <c r="AK116" t="n">
        <v>8</v>
      </c>
      <c r="AL116" t="n">
        <v>1</v>
      </c>
      <c r="AM116" t="n">
        <v>1</v>
      </c>
      <c r="AN116" t="n">
        <v>0</v>
      </c>
      <c r="AO116" t="n">
        <v>0</v>
      </c>
      <c r="AP116" t="inlineStr">
        <is>
          <t>No</t>
        </is>
      </c>
      <c r="AQ116" t="inlineStr">
        <is>
          <t>Yes</t>
        </is>
      </c>
      <c r="AR116">
        <f>HYPERLINK("http://catalog.hathitrust.org/Record/009932175","HathiTrust Record")</f>
        <v/>
      </c>
      <c r="AS116">
        <f>HYPERLINK("https://creighton-primo.hosted.exlibrisgroup.com/primo-explore/search?tab=default_tab&amp;search_scope=EVERYTHING&amp;vid=01CRU&amp;lang=en_US&amp;offset=0&amp;query=any,contains,991005356889702656","Catalog Record")</f>
        <v/>
      </c>
      <c r="AT116">
        <f>HYPERLINK("http://www.worldcat.org/oclc/802031","WorldCat Record")</f>
        <v/>
      </c>
      <c r="AU116" t="inlineStr">
        <is>
          <t>4924721893:ger</t>
        </is>
      </c>
      <c r="AV116" t="inlineStr">
        <is>
          <t>802031</t>
        </is>
      </c>
      <c r="AW116" t="inlineStr">
        <is>
          <t>991005356889702656</t>
        </is>
      </c>
      <c r="AX116" t="inlineStr">
        <is>
          <t>991005356889702656</t>
        </is>
      </c>
      <c r="AY116" t="inlineStr">
        <is>
          <t>2270552310002656</t>
        </is>
      </c>
      <c r="AZ116" t="inlineStr">
        <is>
          <t>BOOK</t>
        </is>
      </c>
      <c r="BC116" t="inlineStr">
        <is>
          <t>32285002779642</t>
        </is>
      </c>
      <c r="BD116" t="inlineStr">
        <is>
          <t>893520966</t>
        </is>
      </c>
    </row>
    <row r="117">
      <c r="A117" t="inlineStr">
        <is>
          <t>No</t>
        </is>
      </c>
      <c r="B117" t="inlineStr">
        <is>
          <t>QD151 .G52 NO. 15 PT. B</t>
        </is>
      </c>
      <c r="C117" t="inlineStr">
        <is>
          <t>0                      QD 0151000G  52                                                      NO. 15 PT. B</t>
        </is>
      </c>
      <c r="D117" t="inlineStr">
        <is>
          <t>Gmelins Handbuch der anorganischen chemie.</t>
        </is>
      </c>
      <c r="E117" t="inlineStr">
        <is>
          <t>NO. 15 PT. B*</t>
        </is>
      </c>
      <c r="F117" t="inlineStr">
        <is>
          <t>Yes</t>
        </is>
      </c>
      <c r="G117" t="inlineStr">
        <is>
          <t>1</t>
        </is>
      </c>
      <c r="H117" t="inlineStr">
        <is>
          <t>No</t>
        </is>
      </c>
      <c r="I117" t="inlineStr">
        <is>
          <t>No</t>
        </is>
      </c>
      <c r="J117" t="inlineStr">
        <is>
          <t>0</t>
        </is>
      </c>
      <c r="L117" t="inlineStr">
        <is>
          <t>Leipzig-Berlin, Verlag Chemie g.m.b.h., 1924-</t>
        </is>
      </c>
      <c r="M117" t="inlineStr">
        <is>
          <t>1924</t>
        </is>
      </c>
      <c r="N117" t="inlineStr">
        <is>
          <t>8. aufl. Hrsg. von der Deutschen chemischen gesellschaft, bearb. von R.J. Meyer, unter beratender mitwirkung von Franz Peters.</t>
        </is>
      </c>
      <c r="O117" t="inlineStr">
        <is>
          <t>ger</t>
        </is>
      </c>
      <c r="P117" t="inlineStr">
        <is>
          <t xml:space="preserve">xx </t>
        </is>
      </c>
      <c r="R117" t="inlineStr">
        <is>
          <t xml:space="preserve">QD </t>
        </is>
      </c>
      <c r="S117" t="n">
        <v>1</v>
      </c>
      <c r="T117" t="n">
        <v>324</v>
      </c>
      <c r="U117" t="inlineStr">
        <is>
          <t>1998-07-27</t>
        </is>
      </c>
      <c r="V117" t="inlineStr">
        <is>
          <t>1998-07-28</t>
        </is>
      </c>
      <c r="W117" t="inlineStr">
        <is>
          <t>1997-06-02</t>
        </is>
      </c>
      <c r="X117" t="inlineStr">
        <is>
          <t>1998-06-24</t>
        </is>
      </c>
      <c r="Y117" t="n">
        <v>259</v>
      </c>
      <c r="Z117" t="n">
        <v>221</v>
      </c>
      <c r="AA117" t="n">
        <v>223</v>
      </c>
      <c r="AB117" t="n">
        <v>2</v>
      </c>
      <c r="AC117" t="n">
        <v>2</v>
      </c>
      <c r="AD117" t="n">
        <v>10</v>
      </c>
      <c r="AE117" t="n">
        <v>10</v>
      </c>
      <c r="AF117" t="n">
        <v>2</v>
      </c>
      <c r="AG117" t="n">
        <v>2</v>
      </c>
      <c r="AH117" t="n">
        <v>2</v>
      </c>
      <c r="AI117" t="n">
        <v>2</v>
      </c>
      <c r="AJ117" t="n">
        <v>8</v>
      </c>
      <c r="AK117" t="n">
        <v>8</v>
      </c>
      <c r="AL117" t="n">
        <v>1</v>
      </c>
      <c r="AM117" t="n">
        <v>1</v>
      </c>
      <c r="AN117" t="n">
        <v>0</v>
      </c>
      <c r="AO117" t="n">
        <v>0</v>
      </c>
      <c r="AP117" t="inlineStr">
        <is>
          <t>No</t>
        </is>
      </c>
      <c r="AQ117" t="inlineStr">
        <is>
          <t>Yes</t>
        </is>
      </c>
      <c r="AR117">
        <f>HYPERLINK("http://catalog.hathitrust.org/Record/009932175","HathiTrust Record")</f>
        <v/>
      </c>
      <c r="AS117">
        <f>HYPERLINK("https://creighton-primo.hosted.exlibrisgroup.com/primo-explore/search?tab=default_tab&amp;search_scope=EVERYTHING&amp;vid=01CRU&amp;lang=en_US&amp;offset=0&amp;query=any,contains,991005356889702656","Catalog Record")</f>
        <v/>
      </c>
      <c r="AT117">
        <f>HYPERLINK("http://www.worldcat.org/oclc/802031","WorldCat Record")</f>
        <v/>
      </c>
      <c r="AU117" t="inlineStr">
        <is>
          <t>4924721893:ger</t>
        </is>
      </c>
      <c r="AV117" t="inlineStr">
        <is>
          <t>802031</t>
        </is>
      </c>
      <c r="AW117" t="inlineStr">
        <is>
          <t>991005356889702656</t>
        </is>
      </c>
      <c r="AX117" t="inlineStr">
        <is>
          <t>991005356889702656</t>
        </is>
      </c>
      <c r="AY117" t="inlineStr">
        <is>
          <t>2270552310002656</t>
        </is>
      </c>
      <c r="AZ117" t="inlineStr">
        <is>
          <t>BOOK</t>
        </is>
      </c>
      <c r="BC117" t="inlineStr">
        <is>
          <t>32285002779659</t>
        </is>
      </c>
      <c r="BD117" t="inlineStr">
        <is>
          <t>893527426</t>
        </is>
      </c>
    </row>
    <row r="118">
      <c r="A118" t="inlineStr">
        <is>
          <t>No</t>
        </is>
      </c>
      <c r="B118" t="inlineStr">
        <is>
          <t>QD151 .G52 NO. 15 PT. C</t>
        </is>
      </c>
      <c r="C118" t="inlineStr">
        <is>
          <t>0                      QD 0151000G  52                                                      NO. 15 PT. C</t>
        </is>
      </c>
      <c r="D118" t="inlineStr">
        <is>
          <t>Gmelins Handbuch der anorganischen chemie.</t>
        </is>
      </c>
      <c r="E118" t="inlineStr">
        <is>
          <t>NO. 15 PT. C*</t>
        </is>
      </c>
      <c r="F118" t="inlineStr">
        <is>
          <t>Yes</t>
        </is>
      </c>
      <c r="G118" t="inlineStr">
        <is>
          <t>1</t>
        </is>
      </c>
      <c r="H118" t="inlineStr">
        <is>
          <t>No</t>
        </is>
      </c>
      <c r="I118" t="inlineStr">
        <is>
          <t>No</t>
        </is>
      </c>
      <c r="J118" t="inlineStr">
        <is>
          <t>0</t>
        </is>
      </c>
      <c r="L118" t="inlineStr">
        <is>
          <t>Leipzig-Berlin, Verlag Chemie g.m.b.h., 1924-</t>
        </is>
      </c>
      <c r="M118" t="inlineStr">
        <is>
          <t>1924</t>
        </is>
      </c>
      <c r="N118" t="inlineStr">
        <is>
          <t>8. aufl. Hrsg. von der Deutschen chemischen gesellschaft, bearb. von R.J. Meyer, unter beratender mitwirkung von Franz Peters.</t>
        </is>
      </c>
      <c r="O118" t="inlineStr">
        <is>
          <t>ger</t>
        </is>
      </c>
      <c r="P118" t="inlineStr">
        <is>
          <t xml:space="preserve">xx </t>
        </is>
      </c>
      <c r="R118" t="inlineStr">
        <is>
          <t xml:space="preserve">QD </t>
        </is>
      </c>
      <c r="S118" t="n">
        <v>1</v>
      </c>
      <c r="T118" t="n">
        <v>324</v>
      </c>
      <c r="U118" t="inlineStr">
        <is>
          <t>1998-07-27</t>
        </is>
      </c>
      <c r="V118" t="inlineStr">
        <is>
          <t>1998-07-28</t>
        </is>
      </c>
      <c r="W118" t="inlineStr">
        <is>
          <t>1997-06-02</t>
        </is>
      </c>
      <c r="X118" t="inlineStr">
        <is>
          <t>1998-06-24</t>
        </is>
      </c>
      <c r="Y118" t="n">
        <v>259</v>
      </c>
      <c r="Z118" t="n">
        <v>221</v>
      </c>
      <c r="AA118" t="n">
        <v>223</v>
      </c>
      <c r="AB118" t="n">
        <v>2</v>
      </c>
      <c r="AC118" t="n">
        <v>2</v>
      </c>
      <c r="AD118" t="n">
        <v>10</v>
      </c>
      <c r="AE118" t="n">
        <v>10</v>
      </c>
      <c r="AF118" t="n">
        <v>2</v>
      </c>
      <c r="AG118" t="n">
        <v>2</v>
      </c>
      <c r="AH118" t="n">
        <v>2</v>
      </c>
      <c r="AI118" t="n">
        <v>2</v>
      </c>
      <c r="AJ118" t="n">
        <v>8</v>
      </c>
      <c r="AK118" t="n">
        <v>8</v>
      </c>
      <c r="AL118" t="n">
        <v>1</v>
      </c>
      <c r="AM118" t="n">
        <v>1</v>
      </c>
      <c r="AN118" t="n">
        <v>0</v>
      </c>
      <c r="AO118" t="n">
        <v>0</v>
      </c>
      <c r="AP118" t="inlineStr">
        <is>
          <t>No</t>
        </is>
      </c>
      <c r="AQ118" t="inlineStr">
        <is>
          <t>Yes</t>
        </is>
      </c>
      <c r="AR118">
        <f>HYPERLINK("http://catalog.hathitrust.org/Record/009932175","HathiTrust Record")</f>
        <v/>
      </c>
      <c r="AS118">
        <f>HYPERLINK("https://creighton-primo.hosted.exlibrisgroup.com/primo-explore/search?tab=default_tab&amp;search_scope=EVERYTHING&amp;vid=01CRU&amp;lang=en_US&amp;offset=0&amp;query=any,contains,991005356889702656","Catalog Record")</f>
        <v/>
      </c>
      <c r="AT118">
        <f>HYPERLINK("http://www.worldcat.org/oclc/802031","WorldCat Record")</f>
        <v/>
      </c>
      <c r="AU118" t="inlineStr">
        <is>
          <t>4924721893:ger</t>
        </is>
      </c>
      <c r="AV118" t="inlineStr">
        <is>
          <t>802031</t>
        </is>
      </c>
      <c r="AW118" t="inlineStr">
        <is>
          <t>991005356889702656</t>
        </is>
      </c>
      <c r="AX118" t="inlineStr">
        <is>
          <t>991005356889702656</t>
        </is>
      </c>
      <c r="AY118" t="inlineStr">
        <is>
          <t>2270552310002656</t>
        </is>
      </c>
      <c r="AZ118" t="inlineStr">
        <is>
          <t>BOOK</t>
        </is>
      </c>
      <c r="BC118" t="inlineStr">
        <is>
          <t>32285002779667</t>
        </is>
      </c>
      <c r="BD118" t="inlineStr">
        <is>
          <t>893508059</t>
        </is>
      </c>
    </row>
    <row r="119">
      <c r="A119" t="inlineStr">
        <is>
          <t>No</t>
        </is>
      </c>
      <c r="B119" t="inlineStr">
        <is>
          <t>QD151 .G52 NO. 16</t>
        </is>
      </c>
      <c r="C119" t="inlineStr">
        <is>
          <t>0                      QD 0151000G  52                                                      NO. 16</t>
        </is>
      </c>
      <c r="D119" t="inlineStr">
        <is>
          <t>Gmelins Handbuch der anorganischen chemie.</t>
        </is>
      </c>
      <c r="E119" t="inlineStr">
        <is>
          <t>NO. 16*</t>
        </is>
      </c>
      <c r="F119" t="inlineStr">
        <is>
          <t>Yes</t>
        </is>
      </c>
      <c r="G119" t="inlineStr">
        <is>
          <t>1</t>
        </is>
      </c>
      <c r="H119" t="inlineStr">
        <is>
          <t>No</t>
        </is>
      </c>
      <c r="I119" t="inlineStr">
        <is>
          <t>No</t>
        </is>
      </c>
      <c r="J119" t="inlineStr">
        <is>
          <t>0</t>
        </is>
      </c>
      <c r="L119" t="inlineStr">
        <is>
          <t>Leipzig-Berlin, Verlag Chemie g.m.b.h., 1924-</t>
        </is>
      </c>
      <c r="M119" t="inlineStr">
        <is>
          <t>1924</t>
        </is>
      </c>
      <c r="N119" t="inlineStr">
        <is>
          <t>8. aufl. Hrsg. von der Deutschen chemischen gesellschaft, bearb. von R.J. Meyer, unter beratender mitwirkung von Franz Peters.</t>
        </is>
      </c>
      <c r="O119" t="inlineStr">
        <is>
          <t>ger</t>
        </is>
      </c>
      <c r="P119" t="inlineStr">
        <is>
          <t xml:space="preserve">xx </t>
        </is>
      </c>
      <c r="R119" t="inlineStr">
        <is>
          <t xml:space="preserve">QD </t>
        </is>
      </c>
      <c r="S119" t="n">
        <v>1</v>
      </c>
      <c r="T119" t="n">
        <v>324</v>
      </c>
      <c r="U119" t="inlineStr">
        <is>
          <t>1998-07-27</t>
        </is>
      </c>
      <c r="V119" t="inlineStr">
        <is>
          <t>1998-07-28</t>
        </is>
      </c>
      <c r="W119" t="inlineStr">
        <is>
          <t>1997-06-02</t>
        </is>
      </c>
      <c r="X119" t="inlineStr">
        <is>
          <t>1998-06-24</t>
        </is>
      </c>
      <c r="Y119" t="n">
        <v>259</v>
      </c>
      <c r="Z119" t="n">
        <v>221</v>
      </c>
      <c r="AA119" t="n">
        <v>223</v>
      </c>
      <c r="AB119" t="n">
        <v>2</v>
      </c>
      <c r="AC119" t="n">
        <v>2</v>
      </c>
      <c r="AD119" t="n">
        <v>10</v>
      </c>
      <c r="AE119" t="n">
        <v>10</v>
      </c>
      <c r="AF119" t="n">
        <v>2</v>
      </c>
      <c r="AG119" t="n">
        <v>2</v>
      </c>
      <c r="AH119" t="n">
        <v>2</v>
      </c>
      <c r="AI119" t="n">
        <v>2</v>
      </c>
      <c r="AJ119" t="n">
        <v>8</v>
      </c>
      <c r="AK119" t="n">
        <v>8</v>
      </c>
      <c r="AL119" t="n">
        <v>1</v>
      </c>
      <c r="AM119" t="n">
        <v>1</v>
      </c>
      <c r="AN119" t="n">
        <v>0</v>
      </c>
      <c r="AO119" t="n">
        <v>0</v>
      </c>
      <c r="AP119" t="inlineStr">
        <is>
          <t>No</t>
        </is>
      </c>
      <c r="AQ119" t="inlineStr">
        <is>
          <t>Yes</t>
        </is>
      </c>
      <c r="AR119">
        <f>HYPERLINK("http://catalog.hathitrust.org/Record/009932175","HathiTrust Record")</f>
        <v/>
      </c>
      <c r="AS119">
        <f>HYPERLINK("https://creighton-primo.hosted.exlibrisgroup.com/primo-explore/search?tab=default_tab&amp;search_scope=EVERYTHING&amp;vid=01CRU&amp;lang=en_US&amp;offset=0&amp;query=any,contains,991005356889702656","Catalog Record")</f>
        <v/>
      </c>
      <c r="AT119">
        <f>HYPERLINK("http://www.worldcat.org/oclc/802031","WorldCat Record")</f>
        <v/>
      </c>
      <c r="AU119" t="inlineStr">
        <is>
          <t>4924721893:ger</t>
        </is>
      </c>
      <c r="AV119" t="inlineStr">
        <is>
          <t>802031</t>
        </is>
      </c>
      <c r="AW119" t="inlineStr">
        <is>
          <t>991005356889702656</t>
        </is>
      </c>
      <c r="AX119" t="inlineStr">
        <is>
          <t>991005356889702656</t>
        </is>
      </c>
      <c r="AY119" t="inlineStr">
        <is>
          <t>2270552310002656</t>
        </is>
      </c>
      <c r="AZ119" t="inlineStr">
        <is>
          <t>BOOK</t>
        </is>
      </c>
      <c r="BC119" t="inlineStr">
        <is>
          <t>32285002779709</t>
        </is>
      </c>
      <c r="BD119" t="inlineStr">
        <is>
          <t>893520965</t>
        </is>
      </c>
    </row>
    <row r="120">
      <c r="A120" t="inlineStr">
        <is>
          <t>No</t>
        </is>
      </c>
      <c r="B120" t="inlineStr">
        <is>
          <t>QD151 .G52 NO. 16 PT. A</t>
        </is>
      </c>
      <c r="C120" t="inlineStr">
        <is>
          <t>0                      QD 0151000G  52                                                      NO. 16 PT. A</t>
        </is>
      </c>
      <c r="D120" t="inlineStr">
        <is>
          <t>Gmelins Handbuch der anorganischen chemie.</t>
        </is>
      </c>
      <c r="E120" t="inlineStr">
        <is>
          <t>NO. 16 PT. A*</t>
        </is>
      </c>
      <c r="F120" t="inlineStr">
        <is>
          <t>Yes</t>
        </is>
      </c>
      <c r="G120" t="inlineStr">
        <is>
          <t>1</t>
        </is>
      </c>
      <c r="H120" t="inlineStr">
        <is>
          <t>No</t>
        </is>
      </c>
      <c r="I120" t="inlineStr">
        <is>
          <t>No</t>
        </is>
      </c>
      <c r="J120" t="inlineStr">
        <is>
          <t>0</t>
        </is>
      </c>
      <c r="L120" t="inlineStr">
        <is>
          <t>Leipzig-Berlin, Verlag Chemie g.m.b.h., 1924-</t>
        </is>
      </c>
      <c r="M120" t="inlineStr">
        <is>
          <t>1924</t>
        </is>
      </c>
      <c r="N120" t="inlineStr">
        <is>
          <t>8. aufl. Hrsg. von der Deutschen chemischen gesellschaft, bearb. von R.J. Meyer, unter beratender mitwirkung von Franz Peters.</t>
        </is>
      </c>
      <c r="O120" t="inlineStr">
        <is>
          <t>ger</t>
        </is>
      </c>
      <c r="P120" t="inlineStr">
        <is>
          <t xml:space="preserve">xx </t>
        </is>
      </c>
      <c r="R120" t="inlineStr">
        <is>
          <t xml:space="preserve">QD </t>
        </is>
      </c>
      <c r="S120" t="n">
        <v>1</v>
      </c>
      <c r="T120" t="n">
        <v>324</v>
      </c>
      <c r="U120" t="inlineStr">
        <is>
          <t>1998-07-27</t>
        </is>
      </c>
      <c r="V120" t="inlineStr">
        <is>
          <t>1998-07-28</t>
        </is>
      </c>
      <c r="W120" t="inlineStr">
        <is>
          <t>1997-06-02</t>
        </is>
      </c>
      <c r="X120" t="inlineStr">
        <is>
          <t>1998-06-24</t>
        </is>
      </c>
      <c r="Y120" t="n">
        <v>259</v>
      </c>
      <c r="Z120" t="n">
        <v>221</v>
      </c>
      <c r="AA120" t="n">
        <v>223</v>
      </c>
      <c r="AB120" t="n">
        <v>2</v>
      </c>
      <c r="AC120" t="n">
        <v>2</v>
      </c>
      <c r="AD120" t="n">
        <v>10</v>
      </c>
      <c r="AE120" t="n">
        <v>10</v>
      </c>
      <c r="AF120" t="n">
        <v>2</v>
      </c>
      <c r="AG120" t="n">
        <v>2</v>
      </c>
      <c r="AH120" t="n">
        <v>2</v>
      </c>
      <c r="AI120" t="n">
        <v>2</v>
      </c>
      <c r="AJ120" t="n">
        <v>8</v>
      </c>
      <c r="AK120" t="n">
        <v>8</v>
      </c>
      <c r="AL120" t="n">
        <v>1</v>
      </c>
      <c r="AM120" t="n">
        <v>1</v>
      </c>
      <c r="AN120" t="n">
        <v>0</v>
      </c>
      <c r="AO120" t="n">
        <v>0</v>
      </c>
      <c r="AP120" t="inlineStr">
        <is>
          <t>No</t>
        </is>
      </c>
      <c r="AQ120" t="inlineStr">
        <is>
          <t>Yes</t>
        </is>
      </c>
      <c r="AR120">
        <f>HYPERLINK("http://catalog.hathitrust.org/Record/009932175","HathiTrust Record")</f>
        <v/>
      </c>
      <c r="AS120">
        <f>HYPERLINK("https://creighton-primo.hosted.exlibrisgroup.com/primo-explore/search?tab=default_tab&amp;search_scope=EVERYTHING&amp;vid=01CRU&amp;lang=en_US&amp;offset=0&amp;query=any,contains,991005356889702656","Catalog Record")</f>
        <v/>
      </c>
      <c r="AT120">
        <f>HYPERLINK("http://www.worldcat.org/oclc/802031","WorldCat Record")</f>
        <v/>
      </c>
      <c r="AU120" t="inlineStr">
        <is>
          <t>4924721893:ger</t>
        </is>
      </c>
      <c r="AV120" t="inlineStr">
        <is>
          <t>802031</t>
        </is>
      </c>
      <c r="AW120" t="inlineStr">
        <is>
          <t>991005356889702656</t>
        </is>
      </c>
      <c r="AX120" t="inlineStr">
        <is>
          <t>991005356889702656</t>
        </is>
      </c>
      <c r="AY120" t="inlineStr">
        <is>
          <t>2270552310002656</t>
        </is>
      </c>
      <c r="AZ120" t="inlineStr">
        <is>
          <t>BOOK</t>
        </is>
      </c>
      <c r="BC120" t="inlineStr">
        <is>
          <t>32285002779683</t>
        </is>
      </c>
      <c r="BD120" t="inlineStr">
        <is>
          <t>893520933</t>
        </is>
      </c>
    </row>
    <row r="121">
      <c r="A121" t="inlineStr">
        <is>
          <t>No</t>
        </is>
      </c>
      <c r="B121" t="inlineStr">
        <is>
          <t>QD151 .G52 NO. 16 PT. B</t>
        </is>
      </c>
      <c r="C121" t="inlineStr">
        <is>
          <t>0                      QD 0151000G  52                                                      NO. 16 PT. B</t>
        </is>
      </c>
      <c r="D121" t="inlineStr">
        <is>
          <t>Gmelins Handbuch der anorganischen chemie.</t>
        </is>
      </c>
      <c r="E121" t="inlineStr">
        <is>
          <t>NO. 16 PT. B*</t>
        </is>
      </c>
      <c r="F121" t="inlineStr">
        <is>
          <t>Yes</t>
        </is>
      </c>
      <c r="G121" t="inlineStr">
        <is>
          <t>1</t>
        </is>
      </c>
      <c r="H121" t="inlineStr">
        <is>
          <t>No</t>
        </is>
      </c>
      <c r="I121" t="inlineStr">
        <is>
          <t>No</t>
        </is>
      </c>
      <c r="J121" t="inlineStr">
        <is>
          <t>0</t>
        </is>
      </c>
      <c r="L121" t="inlineStr">
        <is>
          <t>Leipzig-Berlin, Verlag Chemie g.m.b.h., 1924-</t>
        </is>
      </c>
      <c r="M121" t="inlineStr">
        <is>
          <t>1924</t>
        </is>
      </c>
      <c r="N121" t="inlineStr">
        <is>
          <t>8. aufl. Hrsg. von der Deutschen chemischen gesellschaft, bearb. von R.J. Meyer, unter beratender mitwirkung von Franz Peters.</t>
        </is>
      </c>
      <c r="O121" t="inlineStr">
        <is>
          <t>ger</t>
        </is>
      </c>
      <c r="P121" t="inlineStr">
        <is>
          <t xml:space="preserve">xx </t>
        </is>
      </c>
      <c r="R121" t="inlineStr">
        <is>
          <t xml:space="preserve">QD </t>
        </is>
      </c>
      <c r="S121" t="n">
        <v>1</v>
      </c>
      <c r="T121" t="n">
        <v>324</v>
      </c>
      <c r="U121" t="inlineStr">
        <is>
          <t>1998-07-27</t>
        </is>
      </c>
      <c r="V121" t="inlineStr">
        <is>
          <t>1998-07-28</t>
        </is>
      </c>
      <c r="W121" t="inlineStr">
        <is>
          <t>1997-06-02</t>
        </is>
      </c>
      <c r="X121" t="inlineStr">
        <is>
          <t>1998-06-24</t>
        </is>
      </c>
      <c r="Y121" t="n">
        <v>259</v>
      </c>
      <c r="Z121" t="n">
        <v>221</v>
      </c>
      <c r="AA121" t="n">
        <v>223</v>
      </c>
      <c r="AB121" t="n">
        <v>2</v>
      </c>
      <c r="AC121" t="n">
        <v>2</v>
      </c>
      <c r="AD121" t="n">
        <v>10</v>
      </c>
      <c r="AE121" t="n">
        <v>10</v>
      </c>
      <c r="AF121" t="n">
        <v>2</v>
      </c>
      <c r="AG121" t="n">
        <v>2</v>
      </c>
      <c r="AH121" t="n">
        <v>2</v>
      </c>
      <c r="AI121" t="n">
        <v>2</v>
      </c>
      <c r="AJ121" t="n">
        <v>8</v>
      </c>
      <c r="AK121" t="n">
        <v>8</v>
      </c>
      <c r="AL121" t="n">
        <v>1</v>
      </c>
      <c r="AM121" t="n">
        <v>1</v>
      </c>
      <c r="AN121" t="n">
        <v>0</v>
      </c>
      <c r="AO121" t="n">
        <v>0</v>
      </c>
      <c r="AP121" t="inlineStr">
        <is>
          <t>No</t>
        </is>
      </c>
      <c r="AQ121" t="inlineStr">
        <is>
          <t>Yes</t>
        </is>
      </c>
      <c r="AR121">
        <f>HYPERLINK("http://catalog.hathitrust.org/Record/009932175","HathiTrust Record")</f>
        <v/>
      </c>
      <c r="AS121">
        <f>HYPERLINK("https://creighton-primo.hosted.exlibrisgroup.com/primo-explore/search?tab=default_tab&amp;search_scope=EVERYTHING&amp;vid=01CRU&amp;lang=en_US&amp;offset=0&amp;query=any,contains,991005356889702656","Catalog Record")</f>
        <v/>
      </c>
      <c r="AT121">
        <f>HYPERLINK("http://www.worldcat.org/oclc/802031","WorldCat Record")</f>
        <v/>
      </c>
      <c r="AU121" t="inlineStr">
        <is>
          <t>4924721893:ger</t>
        </is>
      </c>
      <c r="AV121" t="inlineStr">
        <is>
          <t>802031</t>
        </is>
      </c>
      <c r="AW121" t="inlineStr">
        <is>
          <t>991005356889702656</t>
        </is>
      </c>
      <c r="AX121" t="inlineStr">
        <is>
          <t>991005356889702656</t>
        </is>
      </c>
      <c r="AY121" t="inlineStr">
        <is>
          <t>2270552310002656</t>
        </is>
      </c>
      <c r="AZ121" t="inlineStr">
        <is>
          <t>BOOK</t>
        </is>
      </c>
      <c r="BC121" t="inlineStr">
        <is>
          <t>32285002779675</t>
        </is>
      </c>
      <c r="BD121" t="inlineStr">
        <is>
          <t>893501778</t>
        </is>
      </c>
    </row>
    <row r="122">
      <c r="A122" t="inlineStr">
        <is>
          <t>No</t>
        </is>
      </c>
      <c r="B122" t="inlineStr">
        <is>
          <t>QD151 .G52 NO. 16 PT. C</t>
        </is>
      </c>
      <c r="C122" t="inlineStr">
        <is>
          <t>0                      QD 0151000G  52                                                      NO. 16 PT. C</t>
        </is>
      </c>
      <c r="D122" t="inlineStr">
        <is>
          <t>Gmelins Handbuch der anorganischen chemie.</t>
        </is>
      </c>
      <c r="E122" t="inlineStr">
        <is>
          <t>NO. 16 PT. C*</t>
        </is>
      </c>
      <c r="F122" t="inlineStr">
        <is>
          <t>Yes</t>
        </is>
      </c>
      <c r="G122" t="inlineStr">
        <is>
          <t>1</t>
        </is>
      </c>
      <c r="H122" t="inlineStr">
        <is>
          <t>No</t>
        </is>
      </c>
      <c r="I122" t="inlineStr">
        <is>
          <t>No</t>
        </is>
      </c>
      <c r="J122" t="inlineStr">
        <is>
          <t>0</t>
        </is>
      </c>
      <c r="L122" t="inlineStr">
        <is>
          <t>Leipzig-Berlin, Verlag Chemie g.m.b.h., 1924-</t>
        </is>
      </c>
      <c r="M122" t="inlineStr">
        <is>
          <t>1924</t>
        </is>
      </c>
      <c r="N122" t="inlineStr">
        <is>
          <t>8. aufl. Hrsg. von der Deutschen chemischen gesellschaft, bearb. von R.J. Meyer, unter beratender mitwirkung von Franz Peters.</t>
        </is>
      </c>
      <c r="O122" t="inlineStr">
        <is>
          <t>ger</t>
        </is>
      </c>
      <c r="P122" t="inlineStr">
        <is>
          <t xml:space="preserve">xx </t>
        </is>
      </c>
      <c r="R122" t="inlineStr">
        <is>
          <t xml:space="preserve">QD </t>
        </is>
      </c>
      <c r="S122" t="n">
        <v>1</v>
      </c>
      <c r="T122" t="n">
        <v>324</v>
      </c>
      <c r="U122" t="inlineStr">
        <is>
          <t>1998-07-27</t>
        </is>
      </c>
      <c r="V122" t="inlineStr">
        <is>
          <t>1998-07-28</t>
        </is>
      </c>
      <c r="W122" t="inlineStr">
        <is>
          <t>1997-06-02</t>
        </is>
      </c>
      <c r="X122" t="inlineStr">
        <is>
          <t>1998-06-24</t>
        </is>
      </c>
      <c r="Y122" t="n">
        <v>259</v>
      </c>
      <c r="Z122" t="n">
        <v>221</v>
      </c>
      <c r="AA122" t="n">
        <v>223</v>
      </c>
      <c r="AB122" t="n">
        <v>2</v>
      </c>
      <c r="AC122" t="n">
        <v>2</v>
      </c>
      <c r="AD122" t="n">
        <v>10</v>
      </c>
      <c r="AE122" t="n">
        <v>10</v>
      </c>
      <c r="AF122" t="n">
        <v>2</v>
      </c>
      <c r="AG122" t="n">
        <v>2</v>
      </c>
      <c r="AH122" t="n">
        <v>2</v>
      </c>
      <c r="AI122" t="n">
        <v>2</v>
      </c>
      <c r="AJ122" t="n">
        <v>8</v>
      </c>
      <c r="AK122" t="n">
        <v>8</v>
      </c>
      <c r="AL122" t="n">
        <v>1</v>
      </c>
      <c r="AM122" t="n">
        <v>1</v>
      </c>
      <c r="AN122" t="n">
        <v>0</v>
      </c>
      <c r="AO122" t="n">
        <v>0</v>
      </c>
      <c r="AP122" t="inlineStr">
        <is>
          <t>No</t>
        </is>
      </c>
      <c r="AQ122" t="inlineStr">
        <is>
          <t>Yes</t>
        </is>
      </c>
      <c r="AR122">
        <f>HYPERLINK("http://catalog.hathitrust.org/Record/009932175","HathiTrust Record")</f>
        <v/>
      </c>
      <c r="AS122">
        <f>HYPERLINK("https://creighton-primo.hosted.exlibrisgroup.com/primo-explore/search?tab=default_tab&amp;search_scope=EVERYTHING&amp;vid=01CRU&amp;lang=en_US&amp;offset=0&amp;query=any,contains,991005356889702656","Catalog Record")</f>
        <v/>
      </c>
      <c r="AT122">
        <f>HYPERLINK("http://www.worldcat.org/oclc/802031","WorldCat Record")</f>
        <v/>
      </c>
      <c r="AU122" t="inlineStr">
        <is>
          <t>4924721893:ger</t>
        </is>
      </c>
      <c r="AV122" t="inlineStr">
        <is>
          <t>802031</t>
        </is>
      </c>
      <c r="AW122" t="inlineStr">
        <is>
          <t>991005356889702656</t>
        </is>
      </c>
      <c r="AX122" t="inlineStr">
        <is>
          <t>991005356889702656</t>
        </is>
      </c>
      <c r="AY122" t="inlineStr">
        <is>
          <t>2270552310002656</t>
        </is>
      </c>
      <c r="AZ122" t="inlineStr">
        <is>
          <t>BOOK</t>
        </is>
      </c>
      <c r="BC122" t="inlineStr">
        <is>
          <t>32285002779691</t>
        </is>
      </c>
      <c r="BD122" t="inlineStr">
        <is>
          <t>893533648</t>
        </is>
      </c>
    </row>
    <row r="123">
      <c r="A123" t="inlineStr">
        <is>
          <t>No</t>
        </is>
      </c>
      <c r="B123" t="inlineStr">
        <is>
          <t>QD151 .G52 NO. 17</t>
        </is>
      </c>
      <c r="C123" t="inlineStr">
        <is>
          <t>0                      QD 0151000G  52                                                      NO. 17</t>
        </is>
      </c>
      <c r="D123" t="inlineStr">
        <is>
          <t>Gmelins Handbuch der anorganischen chemie.</t>
        </is>
      </c>
      <c r="E123" t="inlineStr">
        <is>
          <t>NO. 17*</t>
        </is>
      </c>
      <c r="F123" t="inlineStr">
        <is>
          <t>Yes</t>
        </is>
      </c>
      <c r="G123" t="inlineStr">
        <is>
          <t>1</t>
        </is>
      </c>
      <c r="H123" t="inlineStr">
        <is>
          <t>No</t>
        </is>
      </c>
      <c r="I123" t="inlineStr">
        <is>
          <t>No</t>
        </is>
      </c>
      <c r="J123" t="inlineStr">
        <is>
          <t>0</t>
        </is>
      </c>
      <c r="L123" t="inlineStr">
        <is>
          <t>Leipzig-Berlin, Verlag Chemie g.m.b.h., 1924-</t>
        </is>
      </c>
      <c r="M123" t="inlineStr">
        <is>
          <t>1924</t>
        </is>
      </c>
      <c r="N123" t="inlineStr">
        <is>
          <t>8. aufl. Hrsg. von der Deutschen chemischen gesellschaft, bearb. von R.J. Meyer, unter beratender mitwirkung von Franz Peters.</t>
        </is>
      </c>
      <c r="O123" t="inlineStr">
        <is>
          <t>ger</t>
        </is>
      </c>
      <c r="P123" t="inlineStr">
        <is>
          <t xml:space="preserve">xx </t>
        </is>
      </c>
      <c r="R123" t="inlineStr">
        <is>
          <t xml:space="preserve">QD </t>
        </is>
      </c>
      <c r="S123" t="n">
        <v>1</v>
      </c>
      <c r="T123" t="n">
        <v>324</v>
      </c>
      <c r="U123" t="inlineStr">
        <is>
          <t>1998-07-27</t>
        </is>
      </c>
      <c r="V123" t="inlineStr">
        <is>
          <t>1998-07-28</t>
        </is>
      </c>
      <c r="W123" t="inlineStr">
        <is>
          <t>1997-06-02</t>
        </is>
      </c>
      <c r="X123" t="inlineStr">
        <is>
          <t>1998-06-24</t>
        </is>
      </c>
      <c r="Y123" t="n">
        <v>259</v>
      </c>
      <c r="Z123" t="n">
        <v>221</v>
      </c>
      <c r="AA123" t="n">
        <v>223</v>
      </c>
      <c r="AB123" t="n">
        <v>2</v>
      </c>
      <c r="AC123" t="n">
        <v>2</v>
      </c>
      <c r="AD123" t="n">
        <v>10</v>
      </c>
      <c r="AE123" t="n">
        <v>10</v>
      </c>
      <c r="AF123" t="n">
        <v>2</v>
      </c>
      <c r="AG123" t="n">
        <v>2</v>
      </c>
      <c r="AH123" t="n">
        <v>2</v>
      </c>
      <c r="AI123" t="n">
        <v>2</v>
      </c>
      <c r="AJ123" t="n">
        <v>8</v>
      </c>
      <c r="AK123" t="n">
        <v>8</v>
      </c>
      <c r="AL123" t="n">
        <v>1</v>
      </c>
      <c r="AM123" t="n">
        <v>1</v>
      </c>
      <c r="AN123" t="n">
        <v>0</v>
      </c>
      <c r="AO123" t="n">
        <v>0</v>
      </c>
      <c r="AP123" t="inlineStr">
        <is>
          <t>No</t>
        </is>
      </c>
      <c r="AQ123" t="inlineStr">
        <is>
          <t>Yes</t>
        </is>
      </c>
      <c r="AR123">
        <f>HYPERLINK("http://catalog.hathitrust.org/Record/009932175","HathiTrust Record")</f>
        <v/>
      </c>
      <c r="AS123">
        <f>HYPERLINK("https://creighton-primo.hosted.exlibrisgroup.com/primo-explore/search?tab=default_tab&amp;search_scope=EVERYTHING&amp;vid=01CRU&amp;lang=en_US&amp;offset=0&amp;query=any,contains,991005356889702656","Catalog Record")</f>
        <v/>
      </c>
      <c r="AT123">
        <f>HYPERLINK("http://www.worldcat.org/oclc/802031","WorldCat Record")</f>
        <v/>
      </c>
      <c r="AU123" t="inlineStr">
        <is>
          <t>4924721893:ger</t>
        </is>
      </c>
      <c r="AV123" t="inlineStr">
        <is>
          <t>802031</t>
        </is>
      </c>
      <c r="AW123" t="inlineStr">
        <is>
          <t>991005356889702656</t>
        </is>
      </c>
      <c r="AX123" t="inlineStr">
        <is>
          <t>991005356889702656</t>
        </is>
      </c>
      <c r="AY123" t="inlineStr">
        <is>
          <t>2270552310002656</t>
        </is>
      </c>
      <c r="AZ123" t="inlineStr">
        <is>
          <t>BOOK</t>
        </is>
      </c>
      <c r="BC123" t="inlineStr">
        <is>
          <t>32285002779717</t>
        </is>
      </c>
      <c r="BD123" t="inlineStr">
        <is>
          <t>893501777</t>
        </is>
      </c>
    </row>
    <row r="124">
      <c r="A124" t="inlineStr">
        <is>
          <t>No</t>
        </is>
      </c>
      <c r="B124" t="inlineStr">
        <is>
          <t>QD151 .G52 NO. 18 PT. A1</t>
        </is>
      </c>
      <c r="C124" t="inlineStr">
        <is>
          <t>0                      QD 0151000G  52                                                      NO. 18 PT. A1</t>
        </is>
      </c>
      <c r="D124" t="inlineStr">
        <is>
          <t>Gmelins Handbuch der anorganischen chemie.</t>
        </is>
      </c>
      <c r="E124" t="inlineStr">
        <is>
          <t>NO. 18 PT. A1*</t>
        </is>
      </c>
      <c r="F124" t="inlineStr">
        <is>
          <t>Yes</t>
        </is>
      </c>
      <c r="G124" t="inlineStr">
        <is>
          <t>1</t>
        </is>
      </c>
      <c r="H124" t="inlineStr">
        <is>
          <t>No</t>
        </is>
      </c>
      <c r="I124" t="inlineStr">
        <is>
          <t>No</t>
        </is>
      </c>
      <c r="J124" t="inlineStr">
        <is>
          <t>0</t>
        </is>
      </c>
      <c r="L124" t="inlineStr">
        <is>
          <t>Leipzig-Berlin, Verlag Chemie g.m.b.h., 1924-</t>
        </is>
      </c>
      <c r="M124" t="inlineStr">
        <is>
          <t>1924</t>
        </is>
      </c>
      <c r="N124" t="inlineStr">
        <is>
          <t>8. aufl. Hrsg. von der Deutschen chemischen gesellschaft, bearb. von R.J. Meyer, unter beratender mitwirkung von Franz Peters.</t>
        </is>
      </c>
      <c r="O124" t="inlineStr">
        <is>
          <t>ger</t>
        </is>
      </c>
      <c r="P124" t="inlineStr">
        <is>
          <t xml:space="preserve">xx </t>
        </is>
      </c>
      <c r="R124" t="inlineStr">
        <is>
          <t xml:space="preserve">QD </t>
        </is>
      </c>
      <c r="S124" t="n">
        <v>1</v>
      </c>
      <c r="T124" t="n">
        <v>324</v>
      </c>
      <c r="U124" t="inlineStr">
        <is>
          <t>1998-07-27</t>
        </is>
      </c>
      <c r="V124" t="inlineStr">
        <is>
          <t>1998-07-28</t>
        </is>
      </c>
      <c r="W124" t="inlineStr">
        <is>
          <t>1997-06-02</t>
        </is>
      </c>
      <c r="X124" t="inlineStr">
        <is>
          <t>1998-06-24</t>
        </is>
      </c>
      <c r="Y124" t="n">
        <v>259</v>
      </c>
      <c r="Z124" t="n">
        <v>221</v>
      </c>
      <c r="AA124" t="n">
        <v>223</v>
      </c>
      <c r="AB124" t="n">
        <v>2</v>
      </c>
      <c r="AC124" t="n">
        <v>2</v>
      </c>
      <c r="AD124" t="n">
        <v>10</v>
      </c>
      <c r="AE124" t="n">
        <v>10</v>
      </c>
      <c r="AF124" t="n">
        <v>2</v>
      </c>
      <c r="AG124" t="n">
        <v>2</v>
      </c>
      <c r="AH124" t="n">
        <v>2</v>
      </c>
      <c r="AI124" t="n">
        <v>2</v>
      </c>
      <c r="AJ124" t="n">
        <v>8</v>
      </c>
      <c r="AK124" t="n">
        <v>8</v>
      </c>
      <c r="AL124" t="n">
        <v>1</v>
      </c>
      <c r="AM124" t="n">
        <v>1</v>
      </c>
      <c r="AN124" t="n">
        <v>0</v>
      </c>
      <c r="AO124" t="n">
        <v>0</v>
      </c>
      <c r="AP124" t="inlineStr">
        <is>
          <t>No</t>
        </is>
      </c>
      <c r="AQ124" t="inlineStr">
        <is>
          <t>Yes</t>
        </is>
      </c>
      <c r="AR124">
        <f>HYPERLINK("http://catalog.hathitrust.org/Record/009932175","HathiTrust Record")</f>
        <v/>
      </c>
      <c r="AS124">
        <f>HYPERLINK("https://creighton-primo.hosted.exlibrisgroup.com/primo-explore/search?tab=default_tab&amp;search_scope=EVERYTHING&amp;vid=01CRU&amp;lang=en_US&amp;offset=0&amp;query=any,contains,991005356889702656","Catalog Record")</f>
        <v/>
      </c>
      <c r="AT124">
        <f>HYPERLINK("http://www.worldcat.org/oclc/802031","WorldCat Record")</f>
        <v/>
      </c>
      <c r="AU124" t="inlineStr">
        <is>
          <t>4924721893:ger</t>
        </is>
      </c>
      <c r="AV124" t="inlineStr">
        <is>
          <t>802031</t>
        </is>
      </c>
      <c r="AW124" t="inlineStr">
        <is>
          <t>991005356889702656</t>
        </is>
      </c>
      <c r="AX124" t="inlineStr">
        <is>
          <t>991005356889702656</t>
        </is>
      </c>
      <c r="AY124" t="inlineStr">
        <is>
          <t>2270552310002656</t>
        </is>
      </c>
      <c r="AZ124" t="inlineStr">
        <is>
          <t>BOOK</t>
        </is>
      </c>
      <c r="BC124" t="inlineStr">
        <is>
          <t>32285002779725</t>
        </is>
      </c>
      <c r="BD124" t="inlineStr">
        <is>
          <t>893527425</t>
        </is>
      </c>
    </row>
    <row r="125">
      <c r="A125" t="inlineStr">
        <is>
          <t>No</t>
        </is>
      </c>
      <c r="B125" t="inlineStr">
        <is>
          <t>QD151 .G52 NO. 18 PT. A2</t>
        </is>
      </c>
      <c r="C125" t="inlineStr">
        <is>
          <t>0                      QD 0151000G  52                                                      NO. 18 PT. A2</t>
        </is>
      </c>
      <c r="D125" t="inlineStr">
        <is>
          <t>Gmelins Handbuch der anorganischen chemie.</t>
        </is>
      </c>
      <c r="E125" t="inlineStr">
        <is>
          <t>NO. 18 PT. A2*</t>
        </is>
      </c>
      <c r="F125" t="inlineStr">
        <is>
          <t>Yes</t>
        </is>
      </c>
      <c r="G125" t="inlineStr">
        <is>
          <t>1</t>
        </is>
      </c>
      <c r="H125" t="inlineStr">
        <is>
          <t>No</t>
        </is>
      </c>
      <c r="I125" t="inlineStr">
        <is>
          <t>No</t>
        </is>
      </c>
      <c r="J125" t="inlineStr">
        <is>
          <t>0</t>
        </is>
      </c>
      <c r="L125" t="inlineStr">
        <is>
          <t>Leipzig-Berlin, Verlag Chemie g.m.b.h., 1924-</t>
        </is>
      </c>
      <c r="M125" t="inlineStr">
        <is>
          <t>1924</t>
        </is>
      </c>
      <c r="N125" t="inlineStr">
        <is>
          <t>8. aufl. Hrsg. von der Deutschen chemischen gesellschaft, bearb. von R.J. Meyer, unter beratender mitwirkung von Franz Peters.</t>
        </is>
      </c>
      <c r="O125" t="inlineStr">
        <is>
          <t>ger</t>
        </is>
      </c>
      <c r="P125" t="inlineStr">
        <is>
          <t xml:space="preserve">xx </t>
        </is>
      </c>
      <c r="R125" t="inlineStr">
        <is>
          <t xml:space="preserve">QD </t>
        </is>
      </c>
      <c r="S125" t="n">
        <v>1</v>
      </c>
      <c r="T125" t="n">
        <v>324</v>
      </c>
      <c r="U125" t="inlineStr">
        <is>
          <t>1998-07-27</t>
        </is>
      </c>
      <c r="V125" t="inlineStr">
        <is>
          <t>1998-07-28</t>
        </is>
      </c>
      <c r="W125" t="inlineStr">
        <is>
          <t>1997-06-02</t>
        </is>
      </c>
      <c r="X125" t="inlineStr">
        <is>
          <t>1998-06-24</t>
        </is>
      </c>
      <c r="Y125" t="n">
        <v>259</v>
      </c>
      <c r="Z125" t="n">
        <v>221</v>
      </c>
      <c r="AA125" t="n">
        <v>223</v>
      </c>
      <c r="AB125" t="n">
        <v>2</v>
      </c>
      <c r="AC125" t="n">
        <v>2</v>
      </c>
      <c r="AD125" t="n">
        <v>10</v>
      </c>
      <c r="AE125" t="n">
        <v>10</v>
      </c>
      <c r="AF125" t="n">
        <v>2</v>
      </c>
      <c r="AG125" t="n">
        <v>2</v>
      </c>
      <c r="AH125" t="n">
        <v>2</v>
      </c>
      <c r="AI125" t="n">
        <v>2</v>
      </c>
      <c r="AJ125" t="n">
        <v>8</v>
      </c>
      <c r="AK125" t="n">
        <v>8</v>
      </c>
      <c r="AL125" t="n">
        <v>1</v>
      </c>
      <c r="AM125" t="n">
        <v>1</v>
      </c>
      <c r="AN125" t="n">
        <v>0</v>
      </c>
      <c r="AO125" t="n">
        <v>0</v>
      </c>
      <c r="AP125" t="inlineStr">
        <is>
          <t>No</t>
        </is>
      </c>
      <c r="AQ125" t="inlineStr">
        <is>
          <t>Yes</t>
        </is>
      </c>
      <c r="AR125">
        <f>HYPERLINK("http://catalog.hathitrust.org/Record/009932175","HathiTrust Record")</f>
        <v/>
      </c>
      <c r="AS125">
        <f>HYPERLINK("https://creighton-primo.hosted.exlibrisgroup.com/primo-explore/search?tab=default_tab&amp;search_scope=EVERYTHING&amp;vid=01CRU&amp;lang=en_US&amp;offset=0&amp;query=any,contains,991005356889702656","Catalog Record")</f>
        <v/>
      </c>
      <c r="AT125">
        <f>HYPERLINK("http://www.worldcat.org/oclc/802031","WorldCat Record")</f>
        <v/>
      </c>
      <c r="AU125" t="inlineStr">
        <is>
          <t>4924721893:ger</t>
        </is>
      </c>
      <c r="AV125" t="inlineStr">
        <is>
          <t>802031</t>
        </is>
      </c>
      <c r="AW125" t="inlineStr">
        <is>
          <t>991005356889702656</t>
        </is>
      </c>
      <c r="AX125" t="inlineStr">
        <is>
          <t>991005356889702656</t>
        </is>
      </c>
      <c r="AY125" t="inlineStr">
        <is>
          <t>2270552310002656</t>
        </is>
      </c>
      <c r="AZ125" t="inlineStr">
        <is>
          <t>BOOK</t>
        </is>
      </c>
      <c r="BC125" t="inlineStr">
        <is>
          <t>32285002779733</t>
        </is>
      </c>
      <c r="BD125" t="inlineStr">
        <is>
          <t>893533647</t>
        </is>
      </c>
    </row>
    <row r="126">
      <c r="A126" t="inlineStr">
        <is>
          <t>No</t>
        </is>
      </c>
      <c r="B126" t="inlineStr">
        <is>
          <t>QD151 .G52 NO. 18 PT. A3</t>
        </is>
      </c>
      <c r="C126" t="inlineStr">
        <is>
          <t>0                      QD 0151000G  52                                                      NO. 18 PT. A3</t>
        </is>
      </c>
      <c r="D126" t="inlineStr">
        <is>
          <t>Gmelins Handbuch der anorganischen chemie.</t>
        </is>
      </c>
      <c r="E126" t="inlineStr">
        <is>
          <t>NO. 18 PT. A3*</t>
        </is>
      </c>
      <c r="F126" t="inlineStr">
        <is>
          <t>Yes</t>
        </is>
      </c>
      <c r="G126" t="inlineStr">
        <is>
          <t>1</t>
        </is>
      </c>
      <c r="H126" t="inlineStr">
        <is>
          <t>No</t>
        </is>
      </c>
      <c r="I126" t="inlineStr">
        <is>
          <t>No</t>
        </is>
      </c>
      <c r="J126" t="inlineStr">
        <is>
          <t>0</t>
        </is>
      </c>
      <c r="L126" t="inlineStr">
        <is>
          <t>Leipzig-Berlin, Verlag Chemie g.m.b.h., 1924-</t>
        </is>
      </c>
      <c r="M126" t="inlineStr">
        <is>
          <t>1924</t>
        </is>
      </c>
      <c r="N126" t="inlineStr">
        <is>
          <t>8. aufl. Hrsg. von der Deutschen chemischen gesellschaft, bearb. von R.J. Meyer, unter beratender mitwirkung von Franz Peters.</t>
        </is>
      </c>
      <c r="O126" t="inlineStr">
        <is>
          <t>ger</t>
        </is>
      </c>
      <c r="P126" t="inlineStr">
        <is>
          <t xml:space="preserve">xx </t>
        </is>
      </c>
      <c r="R126" t="inlineStr">
        <is>
          <t xml:space="preserve">QD </t>
        </is>
      </c>
      <c r="S126" t="n">
        <v>1</v>
      </c>
      <c r="T126" t="n">
        <v>324</v>
      </c>
      <c r="U126" t="inlineStr">
        <is>
          <t>1998-07-27</t>
        </is>
      </c>
      <c r="V126" t="inlineStr">
        <is>
          <t>1998-07-28</t>
        </is>
      </c>
      <c r="W126" t="inlineStr">
        <is>
          <t>1997-06-02</t>
        </is>
      </c>
      <c r="X126" t="inlineStr">
        <is>
          <t>1998-06-24</t>
        </is>
      </c>
      <c r="Y126" t="n">
        <v>259</v>
      </c>
      <c r="Z126" t="n">
        <v>221</v>
      </c>
      <c r="AA126" t="n">
        <v>223</v>
      </c>
      <c r="AB126" t="n">
        <v>2</v>
      </c>
      <c r="AC126" t="n">
        <v>2</v>
      </c>
      <c r="AD126" t="n">
        <v>10</v>
      </c>
      <c r="AE126" t="n">
        <v>10</v>
      </c>
      <c r="AF126" t="n">
        <v>2</v>
      </c>
      <c r="AG126" t="n">
        <v>2</v>
      </c>
      <c r="AH126" t="n">
        <v>2</v>
      </c>
      <c r="AI126" t="n">
        <v>2</v>
      </c>
      <c r="AJ126" t="n">
        <v>8</v>
      </c>
      <c r="AK126" t="n">
        <v>8</v>
      </c>
      <c r="AL126" t="n">
        <v>1</v>
      </c>
      <c r="AM126" t="n">
        <v>1</v>
      </c>
      <c r="AN126" t="n">
        <v>0</v>
      </c>
      <c r="AO126" t="n">
        <v>0</v>
      </c>
      <c r="AP126" t="inlineStr">
        <is>
          <t>No</t>
        </is>
      </c>
      <c r="AQ126" t="inlineStr">
        <is>
          <t>Yes</t>
        </is>
      </c>
      <c r="AR126">
        <f>HYPERLINK("http://catalog.hathitrust.org/Record/009932175","HathiTrust Record")</f>
        <v/>
      </c>
      <c r="AS126">
        <f>HYPERLINK("https://creighton-primo.hosted.exlibrisgroup.com/primo-explore/search?tab=default_tab&amp;search_scope=EVERYTHING&amp;vid=01CRU&amp;lang=en_US&amp;offset=0&amp;query=any,contains,991005356889702656","Catalog Record")</f>
        <v/>
      </c>
      <c r="AT126">
        <f>HYPERLINK("http://www.worldcat.org/oclc/802031","WorldCat Record")</f>
        <v/>
      </c>
      <c r="AU126" t="inlineStr">
        <is>
          <t>4924721893:ger</t>
        </is>
      </c>
      <c r="AV126" t="inlineStr">
        <is>
          <t>802031</t>
        </is>
      </c>
      <c r="AW126" t="inlineStr">
        <is>
          <t>991005356889702656</t>
        </is>
      </c>
      <c r="AX126" t="inlineStr">
        <is>
          <t>991005356889702656</t>
        </is>
      </c>
      <c r="AY126" t="inlineStr">
        <is>
          <t>2270552310002656</t>
        </is>
      </c>
      <c r="AZ126" t="inlineStr">
        <is>
          <t>BOOK</t>
        </is>
      </c>
      <c r="BC126" t="inlineStr">
        <is>
          <t>32285002779741</t>
        </is>
      </c>
      <c r="BD126" t="inlineStr">
        <is>
          <t>893527402</t>
        </is>
      </c>
    </row>
    <row r="127">
      <c r="A127" t="inlineStr">
        <is>
          <t>No</t>
        </is>
      </c>
      <c r="B127" t="inlineStr">
        <is>
          <t>QD151 .G52 NO. 18 PT. B1</t>
        </is>
      </c>
      <c r="C127" t="inlineStr">
        <is>
          <t>0                      QD 0151000G  52                                                      NO. 18 PT. B1</t>
        </is>
      </c>
      <c r="D127" t="inlineStr">
        <is>
          <t>Gmelins Handbuch der anorganischen chemie.</t>
        </is>
      </c>
      <c r="E127" t="inlineStr">
        <is>
          <t>NO. 18 PT. B1*</t>
        </is>
      </c>
      <c r="F127" t="inlineStr">
        <is>
          <t>Yes</t>
        </is>
      </c>
      <c r="G127" t="inlineStr">
        <is>
          <t>1</t>
        </is>
      </c>
      <c r="H127" t="inlineStr">
        <is>
          <t>No</t>
        </is>
      </c>
      <c r="I127" t="inlineStr">
        <is>
          <t>No</t>
        </is>
      </c>
      <c r="J127" t="inlineStr">
        <is>
          <t>0</t>
        </is>
      </c>
      <c r="L127" t="inlineStr">
        <is>
          <t>Leipzig-Berlin, Verlag Chemie g.m.b.h., 1924-</t>
        </is>
      </c>
      <c r="M127" t="inlineStr">
        <is>
          <t>1924</t>
        </is>
      </c>
      <c r="N127" t="inlineStr">
        <is>
          <t>8. aufl. Hrsg. von der Deutschen chemischen gesellschaft, bearb. von R.J. Meyer, unter beratender mitwirkung von Franz Peters.</t>
        </is>
      </c>
      <c r="O127" t="inlineStr">
        <is>
          <t>ger</t>
        </is>
      </c>
      <c r="P127" t="inlineStr">
        <is>
          <t xml:space="preserve">xx </t>
        </is>
      </c>
      <c r="R127" t="inlineStr">
        <is>
          <t xml:space="preserve">QD </t>
        </is>
      </c>
      <c r="S127" t="n">
        <v>1</v>
      </c>
      <c r="T127" t="n">
        <v>324</v>
      </c>
      <c r="U127" t="inlineStr">
        <is>
          <t>1998-07-27</t>
        </is>
      </c>
      <c r="V127" t="inlineStr">
        <is>
          <t>1998-07-28</t>
        </is>
      </c>
      <c r="W127" t="inlineStr">
        <is>
          <t>1997-06-02</t>
        </is>
      </c>
      <c r="X127" t="inlineStr">
        <is>
          <t>1998-06-24</t>
        </is>
      </c>
      <c r="Y127" t="n">
        <v>259</v>
      </c>
      <c r="Z127" t="n">
        <v>221</v>
      </c>
      <c r="AA127" t="n">
        <v>223</v>
      </c>
      <c r="AB127" t="n">
        <v>2</v>
      </c>
      <c r="AC127" t="n">
        <v>2</v>
      </c>
      <c r="AD127" t="n">
        <v>10</v>
      </c>
      <c r="AE127" t="n">
        <v>10</v>
      </c>
      <c r="AF127" t="n">
        <v>2</v>
      </c>
      <c r="AG127" t="n">
        <v>2</v>
      </c>
      <c r="AH127" t="n">
        <v>2</v>
      </c>
      <c r="AI127" t="n">
        <v>2</v>
      </c>
      <c r="AJ127" t="n">
        <v>8</v>
      </c>
      <c r="AK127" t="n">
        <v>8</v>
      </c>
      <c r="AL127" t="n">
        <v>1</v>
      </c>
      <c r="AM127" t="n">
        <v>1</v>
      </c>
      <c r="AN127" t="n">
        <v>0</v>
      </c>
      <c r="AO127" t="n">
        <v>0</v>
      </c>
      <c r="AP127" t="inlineStr">
        <is>
          <t>No</t>
        </is>
      </c>
      <c r="AQ127" t="inlineStr">
        <is>
          <t>Yes</t>
        </is>
      </c>
      <c r="AR127">
        <f>HYPERLINK("http://catalog.hathitrust.org/Record/009932175","HathiTrust Record")</f>
        <v/>
      </c>
      <c r="AS127">
        <f>HYPERLINK("https://creighton-primo.hosted.exlibrisgroup.com/primo-explore/search?tab=default_tab&amp;search_scope=EVERYTHING&amp;vid=01CRU&amp;lang=en_US&amp;offset=0&amp;query=any,contains,991005356889702656","Catalog Record")</f>
        <v/>
      </c>
      <c r="AT127">
        <f>HYPERLINK("http://www.worldcat.org/oclc/802031","WorldCat Record")</f>
        <v/>
      </c>
      <c r="AU127" t="inlineStr">
        <is>
          <t>4924721893:ger</t>
        </is>
      </c>
      <c r="AV127" t="inlineStr">
        <is>
          <t>802031</t>
        </is>
      </c>
      <c r="AW127" t="inlineStr">
        <is>
          <t>991005356889702656</t>
        </is>
      </c>
      <c r="AX127" t="inlineStr">
        <is>
          <t>991005356889702656</t>
        </is>
      </c>
      <c r="AY127" t="inlineStr">
        <is>
          <t>2270552310002656</t>
        </is>
      </c>
      <c r="AZ127" t="inlineStr">
        <is>
          <t>BOOK</t>
        </is>
      </c>
      <c r="BC127" t="inlineStr">
        <is>
          <t>32285002779758</t>
        </is>
      </c>
      <c r="BD127" t="inlineStr">
        <is>
          <t>893527424</t>
        </is>
      </c>
    </row>
    <row r="128">
      <c r="A128" t="inlineStr">
        <is>
          <t>No</t>
        </is>
      </c>
      <c r="B128" t="inlineStr">
        <is>
          <t>QD151 .G52 NO. 18 PT. B2</t>
        </is>
      </c>
      <c r="C128" t="inlineStr">
        <is>
          <t>0                      QD 0151000G  52                                                      NO. 18 PT. B2</t>
        </is>
      </c>
      <c r="D128" t="inlineStr">
        <is>
          <t>Gmelins Handbuch der anorganischen chemie.</t>
        </is>
      </c>
      <c r="E128" t="inlineStr">
        <is>
          <t>NO. 18 PT. B2*</t>
        </is>
      </c>
      <c r="F128" t="inlineStr">
        <is>
          <t>Yes</t>
        </is>
      </c>
      <c r="G128" t="inlineStr">
        <is>
          <t>1</t>
        </is>
      </c>
      <c r="H128" t="inlineStr">
        <is>
          <t>No</t>
        </is>
      </c>
      <c r="I128" t="inlineStr">
        <is>
          <t>No</t>
        </is>
      </c>
      <c r="J128" t="inlineStr">
        <is>
          <t>0</t>
        </is>
      </c>
      <c r="L128" t="inlineStr">
        <is>
          <t>Leipzig-Berlin, Verlag Chemie g.m.b.h., 1924-</t>
        </is>
      </c>
      <c r="M128" t="inlineStr">
        <is>
          <t>1924</t>
        </is>
      </c>
      <c r="N128" t="inlineStr">
        <is>
          <t>8. aufl. Hrsg. von der Deutschen chemischen gesellschaft, bearb. von R.J. Meyer, unter beratender mitwirkung von Franz Peters.</t>
        </is>
      </c>
      <c r="O128" t="inlineStr">
        <is>
          <t>ger</t>
        </is>
      </c>
      <c r="P128" t="inlineStr">
        <is>
          <t xml:space="preserve">xx </t>
        </is>
      </c>
      <c r="R128" t="inlineStr">
        <is>
          <t xml:space="preserve">QD </t>
        </is>
      </c>
      <c r="S128" t="n">
        <v>1</v>
      </c>
      <c r="T128" t="n">
        <v>324</v>
      </c>
      <c r="U128" t="inlineStr">
        <is>
          <t>1998-07-27</t>
        </is>
      </c>
      <c r="V128" t="inlineStr">
        <is>
          <t>1998-07-28</t>
        </is>
      </c>
      <c r="W128" t="inlineStr">
        <is>
          <t>1997-06-02</t>
        </is>
      </c>
      <c r="X128" t="inlineStr">
        <is>
          <t>1998-06-24</t>
        </is>
      </c>
      <c r="Y128" t="n">
        <v>259</v>
      </c>
      <c r="Z128" t="n">
        <v>221</v>
      </c>
      <c r="AA128" t="n">
        <v>223</v>
      </c>
      <c r="AB128" t="n">
        <v>2</v>
      </c>
      <c r="AC128" t="n">
        <v>2</v>
      </c>
      <c r="AD128" t="n">
        <v>10</v>
      </c>
      <c r="AE128" t="n">
        <v>10</v>
      </c>
      <c r="AF128" t="n">
        <v>2</v>
      </c>
      <c r="AG128" t="n">
        <v>2</v>
      </c>
      <c r="AH128" t="n">
        <v>2</v>
      </c>
      <c r="AI128" t="n">
        <v>2</v>
      </c>
      <c r="AJ128" t="n">
        <v>8</v>
      </c>
      <c r="AK128" t="n">
        <v>8</v>
      </c>
      <c r="AL128" t="n">
        <v>1</v>
      </c>
      <c r="AM128" t="n">
        <v>1</v>
      </c>
      <c r="AN128" t="n">
        <v>0</v>
      </c>
      <c r="AO128" t="n">
        <v>0</v>
      </c>
      <c r="AP128" t="inlineStr">
        <is>
          <t>No</t>
        </is>
      </c>
      <c r="AQ128" t="inlineStr">
        <is>
          <t>Yes</t>
        </is>
      </c>
      <c r="AR128">
        <f>HYPERLINK("http://catalog.hathitrust.org/Record/009932175","HathiTrust Record")</f>
        <v/>
      </c>
      <c r="AS128">
        <f>HYPERLINK("https://creighton-primo.hosted.exlibrisgroup.com/primo-explore/search?tab=default_tab&amp;search_scope=EVERYTHING&amp;vid=01CRU&amp;lang=en_US&amp;offset=0&amp;query=any,contains,991005356889702656","Catalog Record")</f>
        <v/>
      </c>
      <c r="AT128">
        <f>HYPERLINK("http://www.worldcat.org/oclc/802031","WorldCat Record")</f>
        <v/>
      </c>
      <c r="AU128" t="inlineStr">
        <is>
          <t>4924721893:ger</t>
        </is>
      </c>
      <c r="AV128" t="inlineStr">
        <is>
          <t>802031</t>
        </is>
      </c>
      <c r="AW128" t="inlineStr">
        <is>
          <t>991005356889702656</t>
        </is>
      </c>
      <c r="AX128" t="inlineStr">
        <is>
          <t>991005356889702656</t>
        </is>
      </c>
      <c r="AY128" t="inlineStr">
        <is>
          <t>2270552310002656</t>
        </is>
      </c>
      <c r="AZ128" t="inlineStr">
        <is>
          <t>BOOK</t>
        </is>
      </c>
      <c r="BC128" t="inlineStr">
        <is>
          <t>32285002779766</t>
        </is>
      </c>
      <c r="BD128" t="inlineStr">
        <is>
          <t>893520932</t>
        </is>
      </c>
    </row>
    <row r="129">
      <c r="A129" t="inlineStr">
        <is>
          <t>No</t>
        </is>
      </c>
      <c r="B129" t="inlineStr">
        <is>
          <t>QD151 .G52 NO. 18 PT. B3</t>
        </is>
      </c>
      <c r="C129" t="inlineStr">
        <is>
          <t>0                      QD 0151000G  52                                                      NO. 18 PT. B3</t>
        </is>
      </c>
      <c r="D129" t="inlineStr">
        <is>
          <t>Gmelins Handbuch der anorganischen chemie.</t>
        </is>
      </c>
      <c r="E129" t="inlineStr">
        <is>
          <t>NO. 18 PT. B3*</t>
        </is>
      </c>
      <c r="F129" t="inlineStr">
        <is>
          <t>Yes</t>
        </is>
      </c>
      <c r="G129" t="inlineStr">
        <is>
          <t>1</t>
        </is>
      </c>
      <c r="H129" t="inlineStr">
        <is>
          <t>No</t>
        </is>
      </c>
      <c r="I129" t="inlineStr">
        <is>
          <t>No</t>
        </is>
      </c>
      <c r="J129" t="inlineStr">
        <is>
          <t>0</t>
        </is>
      </c>
      <c r="L129" t="inlineStr">
        <is>
          <t>Leipzig-Berlin, Verlag Chemie g.m.b.h., 1924-</t>
        </is>
      </c>
      <c r="M129" t="inlineStr">
        <is>
          <t>1924</t>
        </is>
      </c>
      <c r="N129" t="inlineStr">
        <is>
          <t>8. aufl. Hrsg. von der Deutschen chemischen gesellschaft, bearb. von R.J. Meyer, unter beratender mitwirkung von Franz Peters.</t>
        </is>
      </c>
      <c r="O129" t="inlineStr">
        <is>
          <t>ger</t>
        </is>
      </c>
      <c r="P129" t="inlineStr">
        <is>
          <t xml:space="preserve">xx </t>
        </is>
      </c>
      <c r="R129" t="inlineStr">
        <is>
          <t xml:space="preserve">QD </t>
        </is>
      </c>
      <c r="S129" t="n">
        <v>1</v>
      </c>
      <c r="T129" t="n">
        <v>324</v>
      </c>
      <c r="U129" t="inlineStr">
        <is>
          <t>1998-07-27</t>
        </is>
      </c>
      <c r="V129" t="inlineStr">
        <is>
          <t>1998-07-28</t>
        </is>
      </c>
      <c r="W129" t="inlineStr">
        <is>
          <t>1997-06-02</t>
        </is>
      </c>
      <c r="X129" t="inlineStr">
        <is>
          <t>1998-06-24</t>
        </is>
      </c>
      <c r="Y129" t="n">
        <v>259</v>
      </c>
      <c r="Z129" t="n">
        <v>221</v>
      </c>
      <c r="AA129" t="n">
        <v>223</v>
      </c>
      <c r="AB129" t="n">
        <v>2</v>
      </c>
      <c r="AC129" t="n">
        <v>2</v>
      </c>
      <c r="AD129" t="n">
        <v>10</v>
      </c>
      <c r="AE129" t="n">
        <v>10</v>
      </c>
      <c r="AF129" t="n">
        <v>2</v>
      </c>
      <c r="AG129" t="n">
        <v>2</v>
      </c>
      <c r="AH129" t="n">
        <v>2</v>
      </c>
      <c r="AI129" t="n">
        <v>2</v>
      </c>
      <c r="AJ129" t="n">
        <v>8</v>
      </c>
      <c r="AK129" t="n">
        <v>8</v>
      </c>
      <c r="AL129" t="n">
        <v>1</v>
      </c>
      <c r="AM129" t="n">
        <v>1</v>
      </c>
      <c r="AN129" t="n">
        <v>0</v>
      </c>
      <c r="AO129" t="n">
        <v>0</v>
      </c>
      <c r="AP129" t="inlineStr">
        <is>
          <t>No</t>
        </is>
      </c>
      <c r="AQ129" t="inlineStr">
        <is>
          <t>Yes</t>
        </is>
      </c>
      <c r="AR129">
        <f>HYPERLINK("http://catalog.hathitrust.org/Record/009932175","HathiTrust Record")</f>
        <v/>
      </c>
      <c r="AS129">
        <f>HYPERLINK("https://creighton-primo.hosted.exlibrisgroup.com/primo-explore/search?tab=default_tab&amp;search_scope=EVERYTHING&amp;vid=01CRU&amp;lang=en_US&amp;offset=0&amp;query=any,contains,991005356889702656","Catalog Record")</f>
        <v/>
      </c>
      <c r="AT129">
        <f>HYPERLINK("http://www.worldcat.org/oclc/802031","WorldCat Record")</f>
        <v/>
      </c>
      <c r="AU129" t="inlineStr">
        <is>
          <t>4924721893:ger</t>
        </is>
      </c>
      <c r="AV129" t="inlineStr">
        <is>
          <t>802031</t>
        </is>
      </c>
      <c r="AW129" t="inlineStr">
        <is>
          <t>991005356889702656</t>
        </is>
      </c>
      <c r="AX129" t="inlineStr">
        <is>
          <t>991005356889702656</t>
        </is>
      </c>
      <c r="AY129" t="inlineStr">
        <is>
          <t>2270552310002656</t>
        </is>
      </c>
      <c r="AZ129" t="inlineStr">
        <is>
          <t>BOOK</t>
        </is>
      </c>
      <c r="BC129" t="inlineStr">
        <is>
          <t>32285002779774</t>
        </is>
      </c>
      <c r="BD129" t="inlineStr">
        <is>
          <t>893520931</t>
        </is>
      </c>
    </row>
    <row r="130">
      <c r="A130" t="inlineStr">
        <is>
          <t>No</t>
        </is>
      </c>
      <c r="B130" t="inlineStr">
        <is>
          <t>QD151 .G52 NO. 19</t>
        </is>
      </c>
      <c r="C130" t="inlineStr">
        <is>
          <t>0                      QD 0151000G  52                                                      NO. 19</t>
        </is>
      </c>
      <c r="D130" t="inlineStr">
        <is>
          <t>Gmelins Handbuch der anorganischen chemie.</t>
        </is>
      </c>
      <c r="E130" t="inlineStr">
        <is>
          <t>NO. 19*</t>
        </is>
      </c>
      <c r="F130" t="inlineStr">
        <is>
          <t>Yes</t>
        </is>
      </c>
      <c r="G130" t="inlineStr">
        <is>
          <t>1</t>
        </is>
      </c>
      <c r="H130" t="inlineStr">
        <is>
          <t>No</t>
        </is>
      </c>
      <c r="I130" t="inlineStr">
        <is>
          <t>No</t>
        </is>
      </c>
      <c r="J130" t="inlineStr">
        <is>
          <t>0</t>
        </is>
      </c>
      <c r="L130" t="inlineStr">
        <is>
          <t>Leipzig-Berlin, Verlag Chemie g.m.b.h., 1924-</t>
        </is>
      </c>
      <c r="M130" t="inlineStr">
        <is>
          <t>1924</t>
        </is>
      </c>
      <c r="N130" t="inlineStr">
        <is>
          <t>8. aufl. Hrsg. von der Deutschen chemischen gesellschaft, bearb. von R.J. Meyer, unter beratender mitwirkung von Franz Peters.</t>
        </is>
      </c>
      <c r="O130" t="inlineStr">
        <is>
          <t>ger</t>
        </is>
      </c>
      <c r="P130" t="inlineStr">
        <is>
          <t xml:space="preserve">xx </t>
        </is>
      </c>
      <c r="R130" t="inlineStr">
        <is>
          <t xml:space="preserve">QD </t>
        </is>
      </c>
      <c r="S130" t="n">
        <v>1</v>
      </c>
      <c r="T130" t="n">
        <v>324</v>
      </c>
      <c r="U130" t="inlineStr">
        <is>
          <t>1998-07-27</t>
        </is>
      </c>
      <c r="V130" t="inlineStr">
        <is>
          <t>1998-07-28</t>
        </is>
      </c>
      <c r="W130" t="inlineStr">
        <is>
          <t>1997-06-02</t>
        </is>
      </c>
      <c r="X130" t="inlineStr">
        <is>
          <t>1998-06-24</t>
        </is>
      </c>
      <c r="Y130" t="n">
        <v>259</v>
      </c>
      <c r="Z130" t="n">
        <v>221</v>
      </c>
      <c r="AA130" t="n">
        <v>223</v>
      </c>
      <c r="AB130" t="n">
        <v>2</v>
      </c>
      <c r="AC130" t="n">
        <v>2</v>
      </c>
      <c r="AD130" t="n">
        <v>10</v>
      </c>
      <c r="AE130" t="n">
        <v>10</v>
      </c>
      <c r="AF130" t="n">
        <v>2</v>
      </c>
      <c r="AG130" t="n">
        <v>2</v>
      </c>
      <c r="AH130" t="n">
        <v>2</v>
      </c>
      <c r="AI130" t="n">
        <v>2</v>
      </c>
      <c r="AJ130" t="n">
        <v>8</v>
      </c>
      <c r="AK130" t="n">
        <v>8</v>
      </c>
      <c r="AL130" t="n">
        <v>1</v>
      </c>
      <c r="AM130" t="n">
        <v>1</v>
      </c>
      <c r="AN130" t="n">
        <v>0</v>
      </c>
      <c r="AO130" t="n">
        <v>0</v>
      </c>
      <c r="AP130" t="inlineStr">
        <is>
          <t>No</t>
        </is>
      </c>
      <c r="AQ130" t="inlineStr">
        <is>
          <t>Yes</t>
        </is>
      </c>
      <c r="AR130">
        <f>HYPERLINK("http://catalog.hathitrust.org/Record/009932175","HathiTrust Record")</f>
        <v/>
      </c>
      <c r="AS130">
        <f>HYPERLINK("https://creighton-primo.hosted.exlibrisgroup.com/primo-explore/search?tab=default_tab&amp;search_scope=EVERYTHING&amp;vid=01CRU&amp;lang=en_US&amp;offset=0&amp;query=any,contains,991005356889702656","Catalog Record")</f>
        <v/>
      </c>
      <c r="AT130">
        <f>HYPERLINK("http://www.worldcat.org/oclc/802031","WorldCat Record")</f>
        <v/>
      </c>
      <c r="AU130" t="inlineStr">
        <is>
          <t>4924721893:ger</t>
        </is>
      </c>
      <c r="AV130" t="inlineStr">
        <is>
          <t>802031</t>
        </is>
      </c>
      <c r="AW130" t="inlineStr">
        <is>
          <t>991005356889702656</t>
        </is>
      </c>
      <c r="AX130" t="inlineStr">
        <is>
          <t>991005356889702656</t>
        </is>
      </c>
      <c r="AY130" t="inlineStr">
        <is>
          <t>2270552310002656</t>
        </is>
      </c>
      <c r="AZ130" t="inlineStr">
        <is>
          <t>BOOK</t>
        </is>
      </c>
      <c r="BC130" t="inlineStr">
        <is>
          <t>32285002779782</t>
        </is>
      </c>
      <c r="BD130" t="inlineStr">
        <is>
          <t>893514527</t>
        </is>
      </c>
    </row>
    <row r="131">
      <c r="A131" t="inlineStr">
        <is>
          <t>No</t>
        </is>
      </c>
      <c r="B131" t="inlineStr">
        <is>
          <t>QD151 .G52 NO. 19 SUPP.</t>
        </is>
      </c>
      <c r="C131" t="inlineStr">
        <is>
          <t>0                      QD 0151000G  52                                                      NO. 19 SUPP.</t>
        </is>
      </c>
      <c r="D131" t="inlineStr">
        <is>
          <t>Gmelins Handbuch der anorganischen chemie.</t>
        </is>
      </c>
      <c r="E131" t="inlineStr">
        <is>
          <t>NO. 19 SUPP.*</t>
        </is>
      </c>
      <c r="F131" t="inlineStr">
        <is>
          <t>Yes</t>
        </is>
      </c>
      <c r="G131" t="inlineStr">
        <is>
          <t>1</t>
        </is>
      </c>
      <c r="H131" t="inlineStr">
        <is>
          <t>No</t>
        </is>
      </c>
      <c r="I131" t="inlineStr">
        <is>
          <t>No</t>
        </is>
      </c>
      <c r="J131" t="inlineStr">
        <is>
          <t>0</t>
        </is>
      </c>
      <c r="L131" t="inlineStr">
        <is>
          <t>Leipzig-Berlin, Verlag Chemie g.m.b.h., 1924-</t>
        </is>
      </c>
      <c r="M131" t="inlineStr">
        <is>
          <t>1924</t>
        </is>
      </c>
      <c r="N131" t="inlineStr">
        <is>
          <t>8. aufl. Hrsg. von der Deutschen chemischen gesellschaft, bearb. von R.J. Meyer, unter beratender mitwirkung von Franz Peters.</t>
        </is>
      </c>
      <c r="O131" t="inlineStr">
        <is>
          <t>ger</t>
        </is>
      </c>
      <c r="P131" t="inlineStr">
        <is>
          <t xml:space="preserve">xx </t>
        </is>
      </c>
      <c r="R131" t="inlineStr">
        <is>
          <t xml:space="preserve">QD </t>
        </is>
      </c>
      <c r="S131" t="n">
        <v>1</v>
      </c>
      <c r="T131" t="n">
        <v>324</v>
      </c>
      <c r="U131" t="inlineStr">
        <is>
          <t>1998-07-27</t>
        </is>
      </c>
      <c r="V131" t="inlineStr">
        <is>
          <t>1998-07-28</t>
        </is>
      </c>
      <c r="W131" t="inlineStr">
        <is>
          <t>1997-06-02</t>
        </is>
      </c>
      <c r="X131" t="inlineStr">
        <is>
          <t>1998-06-24</t>
        </is>
      </c>
      <c r="Y131" t="n">
        <v>259</v>
      </c>
      <c r="Z131" t="n">
        <v>221</v>
      </c>
      <c r="AA131" t="n">
        <v>223</v>
      </c>
      <c r="AB131" t="n">
        <v>2</v>
      </c>
      <c r="AC131" t="n">
        <v>2</v>
      </c>
      <c r="AD131" t="n">
        <v>10</v>
      </c>
      <c r="AE131" t="n">
        <v>10</v>
      </c>
      <c r="AF131" t="n">
        <v>2</v>
      </c>
      <c r="AG131" t="n">
        <v>2</v>
      </c>
      <c r="AH131" t="n">
        <v>2</v>
      </c>
      <c r="AI131" t="n">
        <v>2</v>
      </c>
      <c r="AJ131" t="n">
        <v>8</v>
      </c>
      <c r="AK131" t="n">
        <v>8</v>
      </c>
      <c r="AL131" t="n">
        <v>1</v>
      </c>
      <c r="AM131" t="n">
        <v>1</v>
      </c>
      <c r="AN131" t="n">
        <v>0</v>
      </c>
      <c r="AO131" t="n">
        <v>0</v>
      </c>
      <c r="AP131" t="inlineStr">
        <is>
          <t>No</t>
        </is>
      </c>
      <c r="AQ131" t="inlineStr">
        <is>
          <t>Yes</t>
        </is>
      </c>
      <c r="AR131">
        <f>HYPERLINK("http://catalog.hathitrust.org/Record/009932175","HathiTrust Record")</f>
        <v/>
      </c>
      <c r="AS131">
        <f>HYPERLINK("https://creighton-primo.hosted.exlibrisgroup.com/primo-explore/search?tab=default_tab&amp;search_scope=EVERYTHING&amp;vid=01CRU&amp;lang=en_US&amp;offset=0&amp;query=any,contains,991005356889702656","Catalog Record")</f>
        <v/>
      </c>
      <c r="AT131">
        <f>HYPERLINK("http://www.worldcat.org/oclc/802031","WorldCat Record")</f>
        <v/>
      </c>
      <c r="AU131" t="inlineStr">
        <is>
          <t>4924721893:ger</t>
        </is>
      </c>
      <c r="AV131" t="inlineStr">
        <is>
          <t>802031</t>
        </is>
      </c>
      <c r="AW131" t="inlineStr">
        <is>
          <t>991005356889702656</t>
        </is>
      </c>
      <c r="AX131" t="inlineStr">
        <is>
          <t>991005356889702656</t>
        </is>
      </c>
      <c r="AY131" t="inlineStr">
        <is>
          <t>2270552310002656</t>
        </is>
      </c>
      <c r="AZ131" t="inlineStr">
        <is>
          <t>BOOK</t>
        </is>
      </c>
      <c r="BC131" t="inlineStr">
        <is>
          <t>32285002779790</t>
        </is>
      </c>
      <c r="BD131" t="inlineStr">
        <is>
          <t>893527401</t>
        </is>
      </c>
    </row>
    <row r="132">
      <c r="A132" t="inlineStr">
        <is>
          <t>No</t>
        </is>
      </c>
      <c r="B132" t="inlineStr">
        <is>
          <t>QD151 .G52 NO. 2</t>
        </is>
      </c>
      <c r="C132" t="inlineStr">
        <is>
          <t>0                      QD 0151000G  52                                                      NO. 2</t>
        </is>
      </c>
      <c r="D132" t="inlineStr">
        <is>
          <t>Gmelins Handbuch der anorganischen chemie.</t>
        </is>
      </c>
      <c r="E132" t="inlineStr">
        <is>
          <t>NO. 2*</t>
        </is>
      </c>
      <c r="F132" t="inlineStr">
        <is>
          <t>Yes</t>
        </is>
      </c>
      <c r="G132" t="inlineStr">
        <is>
          <t>1</t>
        </is>
      </c>
      <c r="H132" t="inlineStr">
        <is>
          <t>No</t>
        </is>
      </c>
      <c r="I132" t="inlineStr">
        <is>
          <t>No</t>
        </is>
      </c>
      <c r="J132" t="inlineStr">
        <is>
          <t>0</t>
        </is>
      </c>
      <c r="L132" t="inlineStr">
        <is>
          <t>Leipzig-Berlin, Verlag Chemie g.m.b.h., 1924-</t>
        </is>
      </c>
      <c r="M132" t="inlineStr">
        <is>
          <t>1924</t>
        </is>
      </c>
      <c r="N132" t="inlineStr">
        <is>
          <t>8. aufl. Hrsg. von der Deutschen chemischen gesellschaft, bearb. von R.J. Meyer, unter beratender mitwirkung von Franz Peters.</t>
        </is>
      </c>
      <c r="O132" t="inlineStr">
        <is>
          <t>ger</t>
        </is>
      </c>
      <c r="P132" t="inlineStr">
        <is>
          <t xml:space="preserve">xx </t>
        </is>
      </c>
      <c r="R132" t="inlineStr">
        <is>
          <t xml:space="preserve">QD </t>
        </is>
      </c>
      <c r="S132" t="n">
        <v>1</v>
      </c>
      <c r="T132" t="n">
        <v>324</v>
      </c>
      <c r="U132" t="inlineStr">
        <is>
          <t>1998-07-27</t>
        </is>
      </c>
      <c r="V132" t="inlineStr">
        <is>
          <t>1998-07-28</t>
        </is>
      </c>
      <c r="W132" t="inlineStr">
        <is>
          <t>1997-06-02</t>
        </is>
      </c>
      <c r="X132" t="inlineStr">
        <is>
          <t>1998-06-24</t>
        </is>
      </c>
      <c r="Y132" t="n">
        <v>259</v>
      </c>
      <c r="Z132" t="n">
        <v>221</v>
      </c>
      <c r="AA132" t="n">
        <v>223</v>
      </c>
      <c r="AB132" t="n">
        <v>2</v>
      </c>
      <c r="AC132" t="n">
        <v>2</v>
      </c>
      <c r="AD132" t="n">
        <v>10</v>
      </c>
      <c r="AE132" t="n">
        <v>10</v>
      </c>
      <c r="AF132" t="n">
        <v>2</v>
      </c>
      <c r="AG132" t="n">
        <v>2</v>
      </c>
      <c r="AH132" t="n">
        <v>2</v>
      </c>
      <c r="AI132" t="n">
        <v>2</v>
      </c>
      <c r="AJ132" t="n">
        <v>8</v>
      </c>
      <c r="AK132" t="n">
        <v>8</v>
      </c>
      <c r="AL132" t="n">
        <v>1</v>
      </c>
      <c r="AM132" t="n">
        <v>1</v>
      </c>
      <c r="AN132" t="n">
        <v>0</v>
      </c>
      <c r="AO132" t="n">
        <v>0</v>
      </c>
      <c r="AP132" t="inlineStr">
        <is>
          <t>No</t>
        </is>
      </c>
      <c r="AQ132" t="inlineStr">
        <is>
          <t>Yes</t>
        </is>
      </c>
      <c r="AR132">
        <f>HYPERLINK("http://catalog.hathitrust.org/Record/009932175","HathiTrust Record")</f>
        <v/>
      </c>
      <c r="AS132">
        <f>HYPERLINK("https://creighton-primo.hosted.exlibrisgroup.com/primo-explore/search?tab=default_tab&amp;search_scope=EVERYTHING&amp;vid=01CRU&amp;lang=en_US&amp;offset=0&amp;query=any,contains,991005356889702656","Catalog Record")</f>
        <v/>
      </c>
      <c r="AT132">
        <f>HYPERLINK("http://www.worldcat.org/oclc/802031","WorldCat Record")</f>
        <v/>
      </c>
      <c r="AU132" t="inlineStr">
        <is>
          <t>4924721893:ger</t>
        </is>
      </c>
      <c r="AV132" t="inlineStr">
        <is>
          <t>802031</t>
        </is>
      </c>
      <c r="AW132" t="inlineStr">
        <is>
          <t>991005356889702656</t>
        </is>
      </c>
      <c r="AX132" t="inlineStr">
        <is>
          <t>991005356889702656</t>
        </is>
      </c>
      <c r="AY132" t="inlineStr">
        <is>
          <t>2270552310002656</t>
        </is>
      </c>
      <c r="AZ132" t="inlineStr">
        <is>
          <t>BOOK</t>
        </is>
      </c>
      <c r="BC132" t="inlineStr">
        <is>
          <t>32285002779113</t>
        </is>
      </c>
      <c r="BD132" t="inlineStr">
        <is>
          <t>893514526</t>
        </is>
      </c>
    </row>
    <row r="133">
      <c r="A133" t="inlineStr">
        <is>
          <t>No</t>
        </is>
      </c>
      <c r="B133" t="inlineStr">
        <is>
          <t>QD151 .G52 NO. 20</t>
        </is>
      </c>
      <c r="C133" t="inlineStr">
        <is>
          <t>0                      QD 0151000G  52                                                      NO. 20</t>
        </is>
      </c>
      <c r="D133" t="inlineStr">
        <is>
          <t>Gmelins Handbuch der anorganischen chemie.</t>
        </is>
      </c>
      <c r="E133" t="inlineStr">
        <is>
          <t>NO. 20*</t>
        </is>
      </c>
      <c r="F133" t="inlineStr">
        <is>
          <t>Yes</t>
        </is>
      </c>
      <c r="G133" t="inlineStr">
        <is>
          <t>1</t>
        </is>
      </c>
      <c r="H133" t="inlineStr">
        <is>
          <t>No</t>
        </is>
      </c>
      <c r="I133" t="inlineStr">
        <is>
          <t>No</t>
        </is>
      </c>
      <c r="J133" t="inlineStr">
        <is>
          <t>0</t>
        </is>
      </c>
      <c r="L133" t="inlineStr">
        <is>
          <t>Leipzig-Berlin, Verlag Chemie g.m.b.h., 1924-</t>
        </is>
      </c>
      <c r="M133" t="inlineStr">
        <is>
          <t>1924</t>
        </is>
      </c>
      <c r="N133" t="inlineStr">
        <is>
          <t>8. aufl. Hrsg. von der Deutschen chemischen gesellschaft, bearb. von R.J. Meyer, unter beratender mitwirkung von Franz Peters.</t>
        </is>
      </c>
      <c r="O133" t="inlineStr">
        <is>
          <t>ger</t>
        </is>
      </c>
      <c r="P133" t="inlineStr">
        <is>
          <t xml:space="preserve">xx </t>
        </is>
      </c>
      <c r="R133" t="inlineStr">
        <is>
          <t xml:space="preserve">QD </t>
        </is>
      </c>
      <c r="S133" t="n">
        <v>1</v>
      </c>
      <c r="T133" t="n">
        <v>324</v>
      </c>
      <c r="U133" t="inlineStr">
        <is>
          <t>1998-07-27</t>
        </is>
      </c>
      <c r="V133" t="inlineStr">
        <is>
          <t>1998-07-28</t>
        </is>
      </c>
      <c r="W133" t="inlineStr">
        <is>
          <t>1997-06-02</t>
        </is>
      </c>
      <c r="X133" t="inlineStr">
        <is>
          <t>1998-06-24</t>
        </is>
      </c>
      <c r="Y133" t="n">
        <v>259</v>
      </c>
      <c r="Z133" t="n">
        <v>221</v>
      </c>
      <c r="AA133" t="n">
        <v>223</v>
      </c>
      <c r="AB133" t="n">
        <v>2</v>
      </c>
      <c r="AC133" t="n">
        <v>2</v>
      </c>
      <c r="AD133" t="n">
        <v>10</v>
      </c>
      <c r="AE133" t="n">
        <v>10</v>
      </c>
      <c r="AF133" t="n">
        <v>2</v>
      </c>
      <c r="AG133" t="n">
        <v>2</v>
      </c>
      <c r="AH133" t="n">
        <v>2</v>
      </c>
      <c r="AI133" t="n">
        <v>2</v>
      </c>
      <c r="AJ133" t="n">
        <v>8</v>
      </c>
      <c r="AK133" t="n">
        <v>8</v>
      </c>
      <c r="AL133" t="n">
        <v>1</v>
      </c>
      <c r="AM133" t="n">
        <v>1</v>
      </c>
      <c r="AN133" t="n">
        <v>0</v>
      </c>
      <c r="AO133" t="n">
        <v>0</v>
      </c>
      <c r="AP133" t="inlineStr">
        <is>
          <t>No</t>
        </is>
      </c>
      <c r="AQ133" t="inlineStr">
        <is>
          <t>Yes</t>
        </is>
      </c>
      <c r="AR133">
        <f>HYPERLINK("http://catalog.hathitrust.org/Record/009932175","HathiTrust Record")</f>
        <v/>
      </c>
      <c r="AS133">
        <f>HYPERLINK("https://creighton-primo.hosted.exlibrisgroup.com/primo-explore/search?tab=default_tab&amp;search_scope=EVERYTHING&amp;vid=01CRU&amp;lang=en_US&amp;offset=0&amp;query=any,contains,991005356889702656","Catalog Record")</f>
        <v/>
      </c>
      <c r="AT133">
        <f>HYPERLINK("http://www.worldcat.org/oclc/802031","WorldCat Record")</f>
        <v/>
      </c>
      <c r="AU133" t="inlineStr">
        <is>
          <t>4924721893:ger</t>
        </is>
      </c>
      <c r="AV133" t="inlineStr">
        <is>
          <t>802031</t>
        </is>
      </c>
      <c r="AW133" t="inlineStr">
        <is>
          <t>991005356889702656</t>
        </is>
      </c>
      <c r="AX133" t="inlineStr">
        <is>
          <t>991005356889702656</t>
        </is>
      </c>
      <c r="AY133" t="inlineStr">
        <is>
          <t>2270552310002656</t>
        </is>
      </c>
      <c r="AZ133" t="inlineStr">
        <is>
          <t>BOOK</t>
        </is>
      </c>
      <c r="BC133" t="inlineStr">
        <is>
          <t>32285002779808</t>
        </is>
      </c>
      <c r="BD133" t="inlineStr">
        <is>
          <t>893527400</t>
        </is>
      </c>
    </row>
    <row r="134">
      <c r="A134" t="inlineStr">
        <is>
          <t>No</t>
        </is>
      </c>
      <c r="B134" t="inlineStr">
        <is>
          <t>QD151 .G52 NO. 20 SUPP.</t>
        </is>
      </c>
      <c r="C134" t="inlineStr">
        <is>
          <t>0                      QD 0151000G  52                                                      NO. 20 SUPP.</t>
        </is>
      </c>
      <c r="D134" t="inlineStr">
        <is>
          <t>Gmelins Handbuch der anorganischen chemie.</t>
        </is>
      </c>
      <c r="E134" t="inlineStr">
        <is>
          <t>NO. 20 SUPP.*</t>
        </is>
      </c>
      <c r="F134" t="inlineStr">
        <is>
          <t>Yes</t>
        </is>
      </c>
      <c r="G134" t="inlineStr">
        <is>
          <t>1</t>
        </is>
      </c>
      <c r="H134" t="inlineStr">
        <is>
          <t>No</t>
        </is>
      </c>
      <c r="I134" t="inlineStr">
        <is>
          <t>No</t>
        </is>
      </c>
      <c r="J134" t="inlineStr">
        <is>
          <t>0</t>
        </is>
      </c>
      <c r="L134" t="inlineStr">
        <is>
          <t>Leipzig-Berlin, Verlag Chemie g.m.b.h., 1924-</t>
        </is>
      </c>
      <c r="M134" t="inlineStr">
        <is>
          <t>1924</t>
        </is>
      </c>
      <c r="N134" t="inlineStr">
        <is>
          <t>8. aufl. Hrsg. von der Deutschen chemischen gesellschaft, bearb. von R.J. Meyer, unter beratender mitwirkung von Franz Peters.</t>
        </is>
      </c>
      <c r="O134" t="inlineStr">
        <is>
          <t>ger</t>
        </is>
      </c>
      <c r="P134" t="inlineStr">
        <is>
          <t xml:space="preserve">xx </t>
        </is>
      </c>
      <c r="R134" t="inlineStr">
        <is>
          <t xml:space="preserve">QD </t>
        </is>
      </c>
      <c r="S134" t="n">
        <v>1</v>
      </c>
      <c r="T134" t="n">
        <v>324</v>
      </c>
      <c r="U134" t="inlineStr">
        <is>
          <t>1998-07-27</t>
        </is>
      </c>
      <c r="V134" t="inlineStr">
        <is>
          <t>1998-07-28</t>
        </is>
      </c>
      <c r="W134" t="inlineStr">
        <is>
          <t>1997-06-02</t>
        </is>
      </c>
      <c r="X134" t="inlineStr">
        <is>
          <t>1998-06-24</t>
        </is>
      </c>
      <c r="Y134" t="n">
        <v>259</v>
      </c>
      <c r="Z134" t="n">
        <v>221</v>
      </c>
      <c r="AA134" t="n">
        <v>223</v>
      </c>
      <c r="AB134" t="n">
        <v>2</v>
      </c>
      <c r="AC134" t="n">
        <v>2</v>
      </c>
      <c r="AD134" t="n">
        <v>10</v>
      </c>
      <c r="AE134" t="n">
        <v>10</v>
      </c>
      <c r="AF134" t="n">
        <v>2</v>
      </c>
      <c r="AG134" t="n">
        <v>2</v>
      </c>
      <c r="AH134" t="n">
        <v>2</v>
      </c>
      <c r="AI134" t="n">
        <v>2</v>
      </c>
      <c r="AJ134" t="n">
        <v>8</v>
      </c>
      <c r="AK134" t="n">
        <v>8</v>
      </c>
      <c r="AL134" t="n">
        <v>1</v>
      </c>
      <c r="AM134" t="n">
        <v>1</v>
      </c>
      <c r="AN134" t="n">
        <v>0</v>
      </c>
      <c r="AO134" t="n">
        <v>0</v>
      </c>
      <c r="AP134" t="inlineStr">
        <is>
          <t>No</t>
        </is>
      </c>
      <c r="AQ134" t="inlineStr">
        <is>
          <t>Yes</t>
        </is>
      </c>
      <c r="AR134">
        <f>HYPERLINK("http://catalog.hathitrust.org/Record/009932175","HathiTrust Record")</f>
        <v/>
      </c>
      <c r="AS134">
        <f>HYPERLINK("https://creighton-primo.hosted.exlibrisgroup.com/primo-explore/search?tab=default_tab&amp;search_scope=EVERYTHING&amp;vid=01CRU&amp;lang=en_US&amp;offset=0&amp;query=any,contains,991005356889702656","Catalog Record")</f>
        <v/>
      </c>
      <c r="AT134">
        <f>HYPERLINK("http://www.worldcat.org/oclc/802031","WorldCat Record")</f>
        <v/>
      </c>
      <c r="AU134" t="inlineStr">
        <is>
          <t>4924721893:ger</t>
        </is>
      </c>
      <c r="AV134" t="inlineStr">
        <is>
          <t>802031</t>
        </is>
      </c>
      <c r="AW134" t="inlineStr">
        <is>
          <t>991005356889702656</t>
        </is>
      </c>
      <c r="AX134" t="inlineStr">
        <is>
          <t>991005356889702656</t>
        </is>
      </c>
      <c r="AY134" t="inlineStr">
        <is>
          <t>2270552310002656</t>
        </is>
      </c>
      <c r="AZ134" t="inlineStr">
        <is>
          <t>BOOK</t>
        </is>
      </c>
      <c r="BC134" t="inlineStr">
        <is>
          <t>32285002779816</t>
        </is>
      </c>
      <c r="BD134" t="inlineStr">
        <is>
          <t>893527423</t>
        </is>
      </c>
    </row>
    <row r="135">
      <c r="A135" t="inlineStr">
        <is>
          <t>No</t>
        </is>
      </c>
      <c r="B135" t="inlineStr">
        <is>
          <t>QD151 .G52 NO. 21</t>
        </is>
      </c>
      <c r="C135" t="inlineStr">
        <is>
          <t>0                      QD 0151000G  52                                                      NO. 21</t>
        </is>
      </c>
      <c r="D135" t="inlineStr">
        <is>
          <t>Gmelins Handbuch der anorganischen chemie.</t>
        </is>
      </c>
      <c r="E135" t="inlineStr">
        <is>
          <t>NO. 21*</t>
        </is>
      </c>
      <c r="F135" t="inlineStr">
        <is>
          <t>Yes</t>
        </is>
      </c>
      <c r="G135" t="inlineStr">
        <is>
          <t>1</t>
        </is>
      </c>
      <c r="H135" t="inlineStr">
        <is>
          <t>Yes</t>
        </is>
      </c>
      <c r="I135" t="inlineStr">
        <is>
          <t>No</t>
        </is>
      </c>
      <c r="J135" t="inlineStr">
        <is>
          <t>0</t>
        </is>
      </c>
      <c r="L135" t="inlineStr">
        <is>
          <t>Leipzig-Berlin, Verlag Chemie g.m.b.h., 1924-</t>
        </is>
      </c>
      <c r="M135" t="inlineStr">
        <is>
          <t>1924</t>
        </is>
      </c>
      <c r="N135" t="inlineStr">
        <is>
          <t>8. aufl. Hrsg. von der Deutschen chemischen gesellschaft, bearb. von R.J. Meyer, unter beratender mitwirkung von Franz Peters.</t>
        </is>
      </c>
      <c r="O135" t="inlineStr">
        <is>
          <t>ger</t>
        </is>
      </c>
      <c r="P135" t="inlineStr">
        <is>
          <t xml:space="preserve">xx </t>
        </is>
      </c>
      <c r="R135" t="inlineStr">
        <is>
          <t xml:space="preserve">QD </t>
        </is>
      </c>
      <c r="S135" t="n">
        <v>1</v>
      </c>
      <c r="T135" t="n">
        <v>324</v>
      </c>
      <c r="U135" t="inlineStr">
        <is>
          <t>1998-07-27</t>
        </is>
      </c>
      <c r="V135" t="inlineStr">
        <is>
          <t>1998-07-28</t>
        </is>
      </c>
      <c r="W135" t="inlineStr">
        <is>
          <t>1997-06-02</t>
        </is>
      </c>
      <c r="X135" t="inlineStr">
        <is>
          <t>1998-06-24</t>
        </is>
      </c>
      <c r="Y135" t="n">
        <v>259</v>
      </c>
      <c r="Z135" t="n">
        <v>221</v>
      </c>
      <c r="AA135" t="n">
        <v>223</v>
      </c>
      <c r="AB135" t="n">
        <v>2</v>
      </c>
      <c r="AC135" t="n">
        <v>2</v>
      </c>
      <c r="AD135" t="n">
        <v>10</v>
      </c>
      <c r="AE135" t="n">
        <v>10</v>
      </c>
      <c r="AF135" t="n">
        <v>2</v>
      </c>
      <c r="AG135" t="n">
        <v>2</v>
      </c>
      <c r="AH135" t="n">
        <v>2</v>
      </c>
      <c r="AI135" t="n">
        <v>2</v>
      </c>
      <c r="AJ135" t="n">
        <v>8</v>
      </c>
      <c r="AK135" t="n">
        <v>8</v>
      </c>
      <c r="AL135" t="n">
        <v>1</v>
      </c>
      <c r="AM135" t="n">
        <v>1</v>
      </c>
      <c r="AN135" t="n">
        <v>0</v>
      </c>
      <c r="AO135" t="n">
        <v>0</v>
      </c>
      <c r="AP135" t="inlineStr">
        <is>
          <t>No</t>
        </is>
      </c>
      <c r="AQ135" t="inlineStr">
        <is>
          <t>Yes</t>
        </is>
      </c>
      <c r="AR135">
        <f>HYPERLINK("http://catalog.hathitrust.org/Record/009932175","HathiTrust Record")</f>
        <v/>
      </c>
      <c r="AS135">
        <f>HYPERLINK("https://creighton-primo.hosted.exlibrisgroup.com/primo-explore/search?tab=default_tab&amp;search_scope=EVERYTHING&amp;vid=01CRU&amp;lang=en_US&amp;offset=0&amp;query=any,contains,991005356889702656","Catalog Record")</f>
        <v/>
      </c>
      <c r="AT135">
        <f>HYPERLINK("http://www.worldcat.org/oclc/802031","WorldCat Record")</f>
        <v/>
      </c>
      <c r="AU135" t="inlineStr">
        <is>
          <t>4924721893:ger</t>
        </is>
      </c>
      <c r="AV135" t="inlineStr">
        <is>
          <t>802031</t>
        </is>
      </c>
      <c r="AW135" t="inlineStr">
        <is>
          <t>991005356889702656</t>
        </is>
      </c>
      <c r="AX135" t="inlineStr">
        <is>
          <t>991005356889702656</t>
        </is>
      </c>
      <c r="AY135" t="inlineStr">
        <is>
          <t>2270552310002656</t>
        </is>
      </c>
      <c r="AZ135" t="inlineStr">
        <is>
          <t>BOOK</t>
        </is>
      </c>
      <c r="BC135" t="inlineStr">
        <is>
          <t>32285002779824</t>
        </is>
      </c>
      <c r="BD135" t="inlineStr">
        <is>
          <t>893527421</t>
        </is>
      </c>
    </row>
    <row r="136">
      <c r="A136" t="inlineStr">
        <is>
          <t>No</t>
        </is>
      </c>
      <c r="B136" t="inlineStr">
        <is>
          <t>QD151 .G52 NO. 21</t>
        </is>
      </c>
      <c r="C136" t="inlineStr">
        <is>
          <t>0                      QD 0151000G  52                                                      NO. 21</t>
        </is>
      </c>
      <c r="D136" t="inlineStr">
        <is>
          <t>Gmelins Handbuch der anorganischen chemie.</t>
        </is>
      </c>
      <c r="E136" t="inlineStr">
        <is>
          <t>NO. 21*</t>
        </is>
      </c>
      <c r="F136" t="inlineStr">
        <is>
          <t>Yes</t>
        </is>
      </c>
      <c r="G136" t="inlineStr">
        <is>
          <t>1</t>
        </is>
      </c>
      <c r="H136" t="inlineStr">
        <is>
          <t>Yes</t>
        </is>
      </c>
      <c r="I136" t="inlineStr">
        <is>
          <t>No</t>
        </is>
      </c>
      <c r="J136" t="inlineStr">
        <is>
          <t>0</t>
        </is>
      </c>
      <c r="L136" t="inlineStr">
        <is>
          <t>Leipzig-Berlin, Verlag Chemie g.m.b.h., 1924-</t>
        </is>
      </c>
      <c r="M136" t="inlineStr">
        <is>
          <t>1924</t>
        </is>
      </c>
      <c r="N136" t="inlineStr">
        <is>
          <t>8. aufl. Hrsg. von der Deutschen chemischen gesellschaft, bearb. von R.J. Meyer, unter beratender mitwirkung von Franz Peters.</t>
        </is>
      </c>
      <c r="O136" t="inlineStr">
        <is>
          <t>ger</t>
        </is>
      </c>
      <c r="P136" t="inlineStr">
        <is>
          <t xml:space="preserve">xx </t>
        </is>
      </c>
      <c r="R136" t="inlineStr">
        <is>
          <t xml:space="preserve">QD </t>
        </is>
      </c>
      <c r="S136" t="n">
        <v>1</v>
      </c>
      <c r="T136" t="n">
        <v>324</v>
      </c>
      <c r="U136" t="inlineStr">
        <is>
          <t>1998-07-27</t>
        </is>
      </c>
      <c r="V136" t="inlineStr">
        <is>
          <t>1998-07-28</t>
        </is>
      </c>
      <c r="W136" t="inlineStr">
        <is>
          <t>1997-06-03</t>
        </is>
      </c>
      <c r="X136" t="inlineStr">
        <is>
          <t>1998-06-24</t>
        </is>
      </c>
      <c r="Y136" t="n">
        <v>259</v>
      </c>
      <c r="Z136" t="n">
        <v>221</v>
      </c>
      <c r="AA136" t="n">
        <v>223</v>
      </c>
      <c r="AB136" t="n">
        <v>2</v>
      </c>
      <c r="AC136" t="n">
        <v>2</v>
      </c>
      <c r="AD136" t="n">
        <v>10</v>
      </c>
      <c r="AE136" t="n">
        <v>10</v>
      </c>
      <c r="AF136" t="n">
        <v>2</v>
      </c>
      <c r="AG136" t="n">
        <v>2</v>
      </c>
      <c r="AH136" t="n">
        <v>2</v>
      </c>
      <c r="AI136" t="n">
        <v>2</v>
      </c>
      <c r="AJ136" t="n">
        <v>8</v>
      </c>
      <c r="AK136" t="n">
        <v>8</v>
      </c>
      <c r="AL136" t="n">
        <v>1</v>
      </c>
      <c r="AM136" t="n">
        <v>1</v>
      </c>
      <c r="AN136" t="n">
        <v>0</v>
      </c>
      <c r="AO136" t="n">
        <v>0</v>
      </c>
      <c r="AP136" t="inlineStr">
        <is>
          <t>No</t>
        </is>
      </c>
      <c r="AQ136" t="inlineStr">
        <is>
          <t>Yes</t>
        </is>
      </c>
      <c r="AR136">
        <f>HYPERLINK("http://catalog.hathitrust.org/Record/009932175","HathiTrust Record")</f>
        <v/>
      </c>
      <c r="AS136">
        <f>HYPERLINK("https://creighton-primo.hosted.exlibrisgroup.com/primo-explore/search?tab=default_tab&amp;search_scope=EVERYTHING&amp;vid=01CRU&amp;lang=en_US&amp;offset=0&amp;query=any,contains,991005356889702656","Catalog Record")</f>
        <v/>
      </c>
      <c r="AT136">
        <f>HYPERLINK("http://www.worldcat.org/oclc/802031","WorldCat Record")</f>
        <v/>
      </c>
      <c r="AU136" t="inlineStr">
        <is>
          <t>4924721893:ger</t>
        </is>
      </c>
      <c r="AV136" t="inlineStr">
        <is>
          <t>802031</t>
        </is>
      </c>
      <c r="AW136" t="inlineStr">
        <is>
          <t>991005356889702656</t>
        </is>
      </c>
      <c r="AX136" t="inlineStr">
        <is>
          <t>991005356889702656</t>
        </is>
      </c>
      <c r="AY136" t="inlineStr">
        <is>
          <t>2270552310002656</t>
        </is>
      </c>
      <c r="AZ136" t="inlineStr">
        <is>
          <t>BOOK</t>
        </is>
      </c>
      <c r="BC136" t="inlineStr">
        <is>
          <t>32285002779907</t>
        </is>
      </c>
      <c r="BD136" t="inlineStr">
        <is>
          <t>893520929</t>
        </is>
      </c>
    </row>
    <row r="137">
      <c r="A137" t="inlineStr">
        <is>
          <t>No</t>
        </is>
      </c>
      <c r="B137" t="inlineStr">
        <is>
          <t>QD151 .G52 NO. 21 SUPP. 1</t>
        </is>
      </c>
      <c r="C137" t="inlineStr">
        <is>
          <t>0                      QD 0151000G  52                                                      NO. 21 SUPP. 1</t>
        </is>
      </c>
      <c r="D137" t="inlineStr">
        <is>
          <t>Gmelins Handbuch der anorganischen chemie.</t>
        </is>
      </c>
      <c r="E137" t="inlineStr">
        <is>
          <t>NO. 21 SUPP. 1*</t>
        </is>
      </c>
      <c r="F137" t="inlineStr">
        <is>
          <t>Yes</t>
        </is>
      </c>
      <c r="G137" t="inlineStr">
        <is>
          <t>1</t>
        </is>
      </c>
      <c r="H137" t="inlineStr">
        <is>
          <t>No</t>
        </is>
      </c>
      <c r="I137" t="inlineStr">
        <is>
          <t>No</t>
        </is>
      </c>
      <c r="J137" t="inlineStr">
        <is>
          <t>0</t>
        </is>
      </c>
      <c r="L137" t="inlineStr">
        <is>
          <t>Leipzig-Berlin, Verlag Chemie g.m.b.h., 1924-</t>
        </is>
      </c>
      <c r="M137" t="inlineStr">
        <is>
          <t>1924</t>
        </is>
      </c>
      <c r="N137" t="inlineStr">
        <is>
          <t>8. aufl. Hrsg. von der Deutschen chemischen gesellschaft, bearb. von R.J. Meyer, unter beratender mitwirkung von Franz Peters.</t>
        </is>
      </c>
      <c r="O137" t="inlineStr">
        <is>
          <t>ger</t>
        </is>
      </c>
      <c r="P137" t="inlineStr">
        <is>
          <t xml:space="preserve">xx </t>
        </is>
      </c>
      <c r="R137" t="inlineStr">
        <is>
          <t xml:space="preserve">QD </t>
        </is>
      </c>
      <c r="S137" t="n">
        <v>1</v>
      </c>
      <c r="T137" t="n">
        <v>324</v>
      </c>
      <c r="U137" t="inlineStr">
        <is>
          <t>1998-07-27</t>
        </is>
      </c>
      <c r="V137" t="inlineStr">
        <is>
          <t>1998-07-28</t>
        </is>
      </c>
      <c r="W137" t="inlineStr">
        <is>
          <t>1997-06-02</t>
        </is>
      </c>
      <c r="X137" t="inlineStr">
        <is>
          <t>1998-06-24</t>
        </is>
      </c>
      <c r="Y137" t="n">
        <v>259</v>
      </c>
      <c r="Z137" t="n">
        <v>221</v>
      </c>
      <c r="AA137" t="n">
        <v>223</v>
      </c>
      <c r="AB137" t="n">
        <v>2</v>
      </c>
      <c r="AC137" t="n">
        <v>2</v>
      </c>
      <c r="AD137" t="n">
        <v>10</v>
      </c>
      <c r="AE137" t="n">
        <v>10</v>
      </c>
      <c r="AF137" t="n">
        <v>2</v>
      </c>
      <c r="AG137" t="n">
        <v>2</v>
      </c>
      <c r="AH137" t="n">
        <v>2</v>
      </c>
      <c r="AI137" t="n">
        <v>2</v>
      </c>
      <c r="AJ137" t="n">
        <v>8</v>
      </c>
      <c r="AK137" t="n">
        <v>8</v>
      </c>
      <c r="AL137" t="n">
        <v>1</v>
      </c>
      <c r="AM137" t="n">
        <v>1</v>
      </c>
      <c r="AN137" t="n">
        <v>0</v>
      </c>
      <c r="AO137" t="n">
        <v>0</v>
      </c>
      <c r="AP137" t="inlineStr">
        <is>
          <t>No</t>
        </is>
      </c>
      <c r="AQ137" t="inlineStr">
        <is>
          <t>Yes</t>
        </is>
      </c>
      <c r="AR137">
        <f>HYPERLINK("http://catalog.hathitrust.org/Record/009932175","HathiTrust Record")</f>
        <v/>
      </c>
      <c r="AS137">
        <f>HYPERLINK("https://creighton-primo.hosted.exlibrisgroup.com/primo-explore/search?tab=default_tab&amp;search_scope=EVERYTHING&amp;vid=01CRU&amp;lang=en_US&amp;offset=0&amp;query=any,contains,991005356889702656","Catalog Record")</f>
        <v/>
      </c>
      <c r="AT137">
        <f>HYPERLINK("http://www.worldcat.org/oclc/802031","WorldCat Record")</f>
        <v/>
      </c>
      <c r="AU137" t="inlineStr">
        <is>
          <t>4924721893:ger</t>
        </is>
      </c>
      <c r="AV137" t="inlineStr">
        <is>
          <t>802031</t>
        </is>
      </c>
      <c r="AW137" t="inlineStr">
        <is>
          <t>991005356889702656</t>
        </is>
      </c>
      <c r="AX137" t="inlineStr">
        <is>
          <t>991005356889702656</t>
        </is>
      </c>
      <c r="AY137" t="inlineStr">
        <is>
          <t>2270552310002656</t>
        </is>
      </c>
      <c r="AZ137" t="inlineStr">
        <is>
          <t>BOOK</t>
        </is>
      </c>
      <c r="BC137" t="inlineStr">
        <is>
          <t>32285002779832</t>
        </is>
      </c>
      <c r="BD137" t="inlineStr">
        <is>
          <t>893527422</t>
        </is>
      </c>
    </row>
    <row r="138">
      <c r="A138" t="inlineStr">
        <is>
          <t>No</t>
        </is>
      </c>
      <c r="B138" t="inlineStr">
        <is>
          <t>QD151 .G52 NO. 21 SUPP. 2</t>
        </is>
      </c>
      <c r="C138" t="inlineStr">
        <is>
          <t>0                      QD 0151000G  52                                                      NO. 21 SUPP. 2</t>
        </is>
      </c>
      <c r="D138" t="inlineStr">
        <is>
          <t>Gmelins Handbuch der anorganischen chemie.</t>
        </is>
      </c>
      <c r="E138" t="inlineStr">
        <is>
          <t>NO. 21 SUPP. 2*</t>
        </is>
      </c>
      <c r="F138" t="inlineStr">
        <is>
          <t>Yes</t>
        </is>
      </c>
      <c r="G138" t="inlineStr">
        <is>
          <t>1</t>
        </is>
      </c>
      <c r="H138" t="inlineStr">
        <is>
          <t>No</t>
        </is>
      </c>
      <c r="I138" t="inlineStr">
        <is>
          <t>No</t>
        </is>
      </c>
      <c r="J138" t="inlineStr">
        <is>
          <t>0</t>
        </is>
      </c>
      <c r="L138" t="inlineStr">
        <is>
          <t>Leipzig-Berlin, Verlag Chemie g.m.b.h., 1924-</t>
        </is>
      </c>
      <c r="M138" t="inlineStr">
        <is>
          <t>1924</t>
        </is>
      </c>
      <c r="N138" t="inlineStr">
        <is>
          <t>8. aufl. Hrsg. von der Deutschen chemischen gesellschaft, bearb. von R.J. Meyer, unter beratender mitwirkung von Franz Peters.</t>
        </is>
      </c>
      <c r="O138" t="inlineStr">
        <is>
          <t>ger</t>
        </is>
      </c>
      <c r="P138" t="inlineStr">
        <is>
          <t xml:space="preserve">xx </t>
        </is>
      </c>
      <c r="R138" t="inlineStr">
        <is>
          <t xml:space="preserve">QD </t>
        </is>
      </c>
      <c r="S138" t="n">
        <v>1</v>
      </c>
      <c r="T138" t="n">
        <v>324</v>
      </c>
      <c r="U138" t="inlineStr">
        <is>
          <t>1998-07-27</t>
        </is>
      </c>
      <c r="V138" t="inlineStr">
        <is>
          <t>1998-07-28</t>
        </is>
      </c>
      <c r="W138" t="inlineStr">
        <is>
          <t>1997-06-02</t>
        </is>
      </c>
      <c r="X138" t="inlineStr">
        <is>
          <t>1998-06-24</t>
        </is>
      </c>
      <c r="Y138" t="n">
        <v>259</v>
      </c>
      <c r="Z138" t="n">
        <v>221</v>
      </c>
      <c r="AA138" t="n">
        <v>223</v>
      </c>
      <c r="AB138" t="n">
        <v>2</v>
      </c>
      <c r="AC138" t="n">
        <v>2</v>
      </c>
      <c r="AD138" t="n">
        <v>10</v>
      </c>
      <c r="AE138" t="n">
        <v>10</v>
      </c>
      <c r="AF138" t="n">
        <v>2</v>
      </c>
      <c r="AG138" t="n">
        <v>2</v>
      </c>
      <c r="AH138" t="n">
        <v>2</v>
      </c>
      <c r="AI138" t="n">
        <v>2</v>
      </c>
      <c r="AJ138" t="n">
        <v>8</v>
      </c>
      <c r="AK138" t="n">
        <v>8</v>
      </c>
      <c r="AL138" t="n">
        <v>1</v>
      </c>
      <c r="AM138" t="n">
        <v>1</v>
      </c>
      <c r="AN138" t="n">
        <v>0</v>
      </c>
      <c r="AO138" t="n">
        <v>0</v>
      </c>
      <c r="AP138" t="inlineStr">
        <is>
          <t>No</t>
        </is>
      </c>
      <c r="AQ138" t="inlineStr">
        <is>
          <t>Yes</t>
        </is>
      </c>
      <c r="AR138">
        <f>HYPERLINK("http://catalog.hathitrust.org/Record/009932175","HathiTrust Record")</f>
        <v/>
      </c>
      <c r="AS138">
        <f>HYPERLINK("https://creighton-primo.hosted.exlibrisgroup.com/primo-explore/search?tab=default_tab&amp;search_scope=EVERYTHING&amp;vid=01CRU&amp;lang=en_US&amp;offset=0&amp;query=any,contains,991005356889702656","Catalog Record")</f>
        <v/>
      </c>
      <c r="AT138">
        <f>HYPERLINK("http://www.worldcat.org/oclc/802031","WorldCat Record")</f>
        <v/>
      </c>
      <c r="AU138" t="inlineStr">
        <is>
          <t>4924721893:ger</t>
        </is>
      </c>
      <c r="AV138" t="inlineStr">
        <is>
          <t>802031</t>
        </is>
      </c>
      <c r="AW138" t="inlineStr">
        <is>
          <t>991005356889702656</t>
        </is>
      </c>
      <c r="AX138" t="inlineStr">
        <is>
          <t>991005356889702656</t>
        </is>
      </c>
      <c r="AY138" t="inlineStr">
        <is>
          <t>2270552310002656</t>
        </is>
      </c>
      <c r="AZ138" t="inlineStr">
        <is>
          <t>BOOK</t>
        </is>
      </c>
      <c r="BC138" t="inlineStr">
        <is>
          <t>32285002779840</t>
        </is>
      </c>
      <c r="BD138" t="inlineStr">
        <is>
          <t>893533646</t>
        </is>
      </c>
    </row>
    <row r="139">
      <c r="A139" t="inlineStr">
        <is>
          <t>No</t>
        </is>
      </c>
      <c r="B139" t="inlineStr">
        <is>
          <t>QD151 .G52 NO. 21 SUPP. 3</t>
        </is>
      </c>
      <c r="C139" t="inlineStr">
        <is>
          <t>0                      QD 0151000G  52                                                      NO. 21 SUPP. 3</t>
        </is>
      </c>
      <c r="D139" t="inlineStr">
        <is>
          <t>Gmelins Handbuch der anorganischen chemie.</t>
        </is>
      </c>
      <c r="E139" t="inlineStr">
        <is>
          <t>NO. 21 SUPP. 3*</t>
        </is>
      </c>
      <c r="F139" t="inlineStr">
        <is>
          <t>Yes</t>
        </is>
      </c>
      <c r="G139" t="inlineStr">
        <is>
          <t>1</t>
        </is>
      </c>
      <c r="H139" t="inlineStr">
        <is>
          <t>No</t>
        </is>
      </c>
      <c r="I139" t="inlineStr">
        <is>
          <t>No</t>
        </is>
      </c>
      <c r="J139" t="inlineStr">
        <is>
          <t>0</t>
        </is>
      </c>
      <c r="L139" t="inlineStr">
        <is>
          <t>Leipzig-Berlin, Verlag Chemie g.m.b.h., 1924-</t>
        </is>
      </c>
      <c r="M139" t="inlineStr">
        <is>
          <t>1924</t>
        </is>
      </c>
      <c r="N139" t="inlineStr">
        <is>
          <t>8. aufl. Hrsg. von der Deutschen chemischen gesellschaft, bearb. von R.J. Meyer, unter beratender mitwirkung von Franz Peters.</t>
        </is>
      </c>
      <c r="O139" t="inlineStr">
        <is>
          <t>ger</t>
        </is>
      </c>
      <c r="P139" t="inlineStr">
        <is>
          <t xml:space="preserve">xx </t>
        </is>
      </c>
      <c r="R139" t="inlineStr">
        <is>
          <t xml:space="preserve">QD </t>
        </is>
      </c>
      <c r="S139" t="n">
        <v>1</v>
      </c>
      <c r="T139" t="n">
        <v>324</v>
      </c>
      <c r="U139" t="inlineStr">
        <is>
          <t>1998-07-27</t>
        </is>
      </c>
      <c r="V139" t="inlineStr">
        <is>
          <t>1998-07-28</t>
        </is>
      </c>
      <c r="W139" t="inlineStr">
        <is>
          <t>1997-06-02</t>
        </is>
      </c>
      <c r="X139" t="inlineStr">
        <is>
          <t>1998-06-24</t>
        </is>
      </c>
      <c r="Y139" t="n">
        <v>259</v>
      </c>
      <c r="Z139" t="n">
        <v>221</v>
      </c>
      <c r="AA139" t="n">
        <v>223</v>
      </c>
      <c r="AB139" t="n">
        <v>2</v>
      </c>
      <c r="AC139" t="n">
        <v>2</v>
      </c>
      <c r="AD139" t="n">
        <v>10</v>
      </c>
      <c r="AE139" t="n">
        <v>10</v>
      </c>
      <c r="AF139" t="n">
        <v>2</v>
      </c>
      <c r="AG139" t="n">
        <v>2</v>
      </c>
      <c r="AH139" t="n">
        <v>2</v>
      </c>
      <c r="AI139" t="n">
        <v>2</v>
      </c>
      <c r="AJ139" t="n">
        <v>8</v>
      </c>
      <c r="AK139" t="n">
        <v>8</v>
      </c>
      <c r="AL139" t="n">
        <v>1</v>
      </c>
      <c r="AM139" t="n">
        <v>1</v>
      </c>
      <c r="AN139" t="n">
        <v>0</v>
      </c>
      <c r="AO139" t="n">
        <v>0</v>
      </c>
      <c r="AP139" t="inlineStr">
        <is>
          <t>No</t>
        </is>
      </c>
      <c r="AQ139" t="inlineStr">
        <is>
          <t>Yes</t>
        </is>
      </c>
      <c r="AR139">
        <f>HYPERLINK("http://catalog.hathitrust.org/Record/009932175","HathiTrust Record")</f>
        <v/>
      </c>
      <c r="AS139">
        <f>HYPERLINK("https://creighton-primo.hosted.exlibrisgroup.com/primo-explore/search?tab=default_tab&amp;search_scope=EVERYTHING&amp;vid=01CRU&amp;lang=en_US&amp;offset=0&amp;query=any,contains,991005356889702656","Catalog Record")</f>
        <v/>
      </c>
      <c r="AT139">
        <f>HYPERLINK("http://www.worldcat.org/oclc/802031","WorldCat Record")</f>
        <v/>
      </c>
      <c r="AU139" t="inlineStr">
        <is>
          <t>4924721893:ger</t>
        </is>
      </c>
      <c r="AV139" t="inlineStr">
        <is>
          <t>802031</t>
        </is>
      </c>
      <c r="AW139" t="inlineStr">
        <is>
          <t>991005356889702656</t>
        </is>
      </c>
      <c r="AX139" t="inlineStr">
        <is>
          <t>991005356889702656</t>
        </is>
      </c>
      <c r="AY139" t="inlineStr">
        <is>
          <t>2270552310002656</t>
        </is>
      </c>
      <c r="AZ139" t="inlineStr">
        <is>
          <t>BOOK</t>
        </is>
      </c>
      <c r="BC139" t="inlineStr">
        <is>
          <t>32285002779857</t>
        </is>
      </c>
      <c r="BD139" t="inlineStr">
        <is>
          <t>893527399</t>
        </is>
      </c>
    </row>
    <row r="140">
      <c r="A140" t="inlineStr">
        <is>
          <t>No</t>
        </is>
      </c>
      <c r="B140" t="inlineStr">
        <is>
          <t>QD151 .G52 NO. 21 SUPP. 4</t>
        </is>
      </c>
      <c r="C140" t="inlineStr">
        <is>
          <t>0                      QD 0151000G  52                                                      NO. 21 SUPP. 4</t>
        </is>
      </c>
      <c r="D140" t="inlineStr">
        <is>
          <t>Gmelins Handbuch der anorganischen chemie.</t>
        </is>
      </c>
      <c r="E140" t="inlineStr">
        <is>
          <t>NO. 21 SUPP. 4*</t>
        </is>
      </c>
      <c r="F140" t="inlineStr">
        <is>
          <t>Yes</t>
        </is>
      </c>
      <c r="G140" t="inlineStr">
        <is>
          <t>1</t>
        </is>
      </c>
      <c r="H140" t="inlineStr">
        <is>
          <t>No</t>
        </is>
      </c>
      <c r="I140" t="inlineStr">
        <is>
          <t>No</t>
        </is>
      </c>
      <c r="J140" t="inlineStr">
        <is>
          <t>0</t>
        </is>
      </c>
      <c r="L140" t="inlineStr">
        <is>
          <t>Leipzig-Berlin, Verlag Chemie g.m.b.h., 1924-</t>
        </is>
      </c>
      <c r="M140" t="inlineStr">
        <is>
          <t>1924</t>
        </is>
      </c>
      <c r="N140" t="inlineStr">
        <is>
          <t>8. aufl. Hrsg. von der Deutschen chemischen gesellschaft, bearb. von R.J. Meyer, unter beratender mitwirkung von Franz Peters.</t>
        </is>
      </c>
      <c r="O140" t="inlineStr">
        <is>
          <t>ger</t>
        </is>
      </c>
      <c r="P140" t="inlineStr">
        <is>
          <t xml:space="preserve">xx </t>
        </is>
      </c>
      <c r="R140" t="inlineStr">
        <is>
          <t xml:space="preserve">QD </t>
        </is>
      </c>
      <c r="S140" t="n">
        <v>1</v>
      </c>
      <c r="T140" t="n">
        <v>324</v>
      </c>
      <c r="U140" t="inlineStr">
        <is>
          <t>1998-07-27</t>
        </is>
      </c>
      <c r="V140" t="inlineStr">
        <is>
          <t>1998-07-28</t>
        </is>
      </c>
      <c r="W140" t="inlineStr">
        <is>
          <t>1997-06-02</t>
        </is>
      </c>
      <c r="X140" t="inlineStr">
        <is>
          <t>1998-06-24</t>
        </is>
      </c>
      <c r="Y140" t="n">
        <v>259</v>
      </c>
      <c r="Z140" t="n">
        <v>221</v>
      </c>
      <c r="AA140" t="n">
        <v>223</v>
      </c>
      <c r="AB140" t="n">
        <v>2</v>
      </c>
      <c r="AC140" t="n">
        <v>2</v>
      </c>
      <c r="AD140" t="n">
        <v>10</v>
      </c>
      <c r="AE140" t="n">
        <v>10</v>
      </c>
      <c r="AF140" t="n">
        <v>2</v>
      </c>
      <c r="AG140" t="n">
        <v>2</v>
      </c>
      <c r="AH140" t="n">
        <v>2</v>
      </c>
      <c r="AI140" t="n">
        <v>2</v>
      </c>
      <c r="AJ140" t="n">
        <v>8</v>
      </c>
      <c r="AK140" t="n">
        <v>8</v>
      </c>
      <c r="AL140" t="n">
        <v>1</v>
      </c>
      <c r="AM140" t="n">
        <v>1</v>
      </c>
      <c r="AN140" t="n">
        <v>0</v>
      </c>
      <c r="AO140" t="n">
        <v>0</v>
      </c>
      <c r="AP140" t="inlineStr">
        <is>
          <t>No</t>
        </is>
      </c>
      <c r="AQ140" t="inlineStr">
        <is>
          <t>Yes</t>
        </is>
      </c>
      <c r="AR140">
        <f>HYPERLINK("http://catalog.hathitrust.org/Record/009932175","HathiTrust Record")</f>
        <v/>
      </c>
      <c r="AS140">
        <f>HYPERLINK("https://creighton-primo.hosted.exlibrisgroup.com/primo-explore/search?tab=default_tab&amp;search_scope=EVERYTHING&amp;vid=01CRU&amp;lang=en_US&amp;offset=0&amp;query=any,contains,991005356889702656","Catalog Record")</f>
        <v/>
      </c>
      <c r="AT140">
        <f>HYPERLINK("http://www.worldcat.org/oclc/802031","WorldCat Record")</f>
        <v/>
      </c>
      <c r="AU140" t="inlineStr">
        <is>
          <t>4924721893:ger</t>
        </is>
      </c>
      <c r="AV140" t="inlineStr">
        <is>
          <t>802031</t>
        </is>
      </c>
      <c r="AW140" t="inlineStr">
        <is>
          <t>991005356889702656</t>
        </is>
      </c>
      <c r="AX140" t="inlineStr">
        <is>
          <t>991005356889702656</t>
        </is>
      </c>
      <c r="AY140" t="inlineStr">
        <is>
          <t>2270552310002656</t>
        </is>
      </c>
      <c r="AZ140" t="inlineStr">
        <is>
          <t>BOOK</t>
        </is>
      </c>
      <c r="BC140" t="inlineStr">
        <is>
          <t>32285002779865</t>
        </is>
      </c>
      <c r="BD140" t="inlineStr">
        <is>
          <t>893520930</t>
        </is>
      </c>
    </row>
    <row r="141">
      <c r="A141" t="inlineStr">
        <is>
          <t>No</t>
        </is>
      </c>
      <c r="B141" t="inlineStr">
        <is>
          <t>QD151 .G52 NO. 21 SUPP. 5</t>
        </is>
      </c>
      <c r="C141" t="inlineStr">
        <is>
          <t>0                      QD 0151000G  52                                                      NO. 21 SUPP. 5</t>
        </is>
      </c>
      <c r="D141" t="inlineStr">
        <is>
          <t>Gmelins Handbuch der anorganischen chemie.</t>
        </is>
      </c>
      <c r="E141" t="inlineStr">
        <is>
          <t>NO. 21 SUPP. 5*</t>
        </is>
      </c>
      <c r="F141" t="inlineStr">
        <is>
          <t>Yes</t>
        </is>
      </c>
      <c r="G141" t="inlineStr">
        <is>
          <t>1</t>
        </is>
      </c>
      <c r="H141" t="inlineStr">
        <is>
          <t>No</t>
        </is>
      </c>
      <c r="I141" t="inlineStr">
        <is>
          <t>No</t>
        </is>
      </c>
      <c r="J141" t="inlineStr">
        <is>
          <t>0</t>
        </is>
      </c>
      <c r="L141" t="inlineStr">
        <is>
          <t>Leipzig-Berlin, Verlag Chemie g.m.b.h., 1924-</t>
        </is>
      </c>
      <c r="M141" t="inlineStr">
        <is>
          <t>1924</t>
        </is>
      </c>
      <c r="N141" t="inlineStr">
        <is>
          <t>8. aufl. Hrsg. von der Deutschen chemischen gesellschaft, bearb. von R.J. Meyer, unter beratender mitwirkung von Franz Peters.</t>
        </is>
      </c>
      <c r="O141" t="inlineStr">
        <is>
          <t>ger</t>
        </is>
      </c>
      <c r="P141" t="inlineStr">
        <is>
          <t xml:space="preserve">xx </t>
        </is>
      </c>
      <c r="R141" t="inlineStr">
        <is>
          <t xml:space="preserve">QD </t>
        </is>
      </c>
      <c r="S141" t="n">
        <v>1</v>
      </c>
      <c r="T141" t="n">
        <v>324</v>
      </c>
      <c r="U141" t="inlineStr">
        <is>
          <t>1998-07-27</t>
        </is>
      </c>
      <c r="V141" t="inlineStr">
        <is>
          <t>1998-07-28</t>
        </is>
      </c>
      <c r="W141" t="inlineStr">
        <is>
          <t>1997-06-03</t>
        </is>
      </c>
      <c r="X141" t="inlineStr">
        <is>
          <t>1998-06-24</t>
        </is>
      </c>
      <c r="Y141" t="n">
        <v>259</v>
      </c>
      <c r="Z141" t="n">
        <v>221</v>
      </c>
      <c r="AA141" t="n">
        <v>223</v>
      </c>
      <c r="AB141" t="n">
        <v>2</v>
      </c>
      <c r="AC141" t="n">
        <v>2</v>
      </c>
      <c r="AD141" t="n">
        <v>10</v>
      </c>
      <c r="AE141" t="n">
        <v>10</v>
      </c>
      <c r="AF141" t="n">
        <v>2</v>
      </c>
      <c r="AG141" t="n">
        <v>2</v>
      </c>
      <c r="AH141" t="n">
        <v>2</v>
      </c>
      <c r="AI141" t="n">
        <v>2</v>
      </c>
      <c r="AJ141" t="n">
        <v>8</v>
      </c>
      <c r="AK141" t="n">
        <v>8</v>
      </c>
      <c r="AL141" t="n">
        <v>1</v>
      </c>
      <c r="AM141" t="n">
        <v>1</v>
      </c>
      <c r="AN141" t="n">
        <v>0</v>
      </c>
      <c r="AO141" t="n">
        <v>0</v>
      </c>
      <c r="AP141" t="inlineStr">
        <is>
          <t>No</t>
        </is>
      </c>
      <c r="AQ141" t="inlineStr">
        <is>
          <t>Yes</t>
        </is>
      </c>
      <c r="AR141">
        <f>HYPERLINK("http://catalog.hathitrust.org/Record/009932175","HathiTrust Record")</f>
        <v/>
      </c>
      <c r="AS141">
        <f>HYPERLINK("https://creighton-primo.hosted.exlibrisgroup.com/primo-explore/search?tab=default_tab&amp;search_scope=EVERYTHING&amp;vid=01CRU&amp;lang=en_US&amp;offset=0&amp;query=any,contains,991005356889702656","Catalog Record")</f>
        <v/>
      </c>
      <c r="AT141">
        <f>HYPERLINK("http://www.worldcat.org/oclc/802031","WorldCat Record")</f>
        <v/>
      </c>
      <c r="AU141" t="inlineStr">
        <is>
          <t>4924721893:ger</t>
        </is>
      </c>
      <c r="AV141" t="inlineStr">
        <is>
          <t>802031</t>
        </is>
      </c>
      <c r="AW141" t="inlineStr">
        <is>
          <t>991005356889702656</t>
        </is>
      </c>
      <c r="AX141" t="inlineStr">
        <is>
          <t>991005356889702656</t>
        </is>
      </c>
      <c r="AY141" t="inlineStr">
        <is>
          <t>2270552310002656</t>
        </is>
      </c>
      <c r="AZ141" t="inlineStr">
        <is>
          <t>BOOK</t>
        </is>
      </c>
      <c r="BC141" t="inlineStr">
        <is>
          <t>32285002779873</t>
        </is>
      </c>
      <c r="BD141" t="inlineStr">
        <is>
          <t>893533645</t>
        </is>
      </c>
    </row>
    <row r="142">
      <c r="A142" t="inlineStr">
        <is>
          <t>No</t>
        </is>
      </c>
      <c r="B142" t="inlineStr">
        <is>
          <t>QD151 .G52 NO. 21 SUPP. 6</t>
        </is>
      </c>
      <c r="C142" t="inlineStr">
        <is>
          <t>0                      QD 0151000G  52                                                      NO. 21 SUPP. 6</t>
        </is>
      </c>
      <c r="D142" t="inlineStr">
        <is>
          <t>Gmelins Handbuch der anorganischen chemie.</t>
        </is>
      </c>
      <c r="E142" t="inlineStr">
        <is>
          <t>NO. 21 SUPP. 6*</t>
        </is>
      </c>
      <c r="F142" t="inlineStr">
        <is>
          <t>Yes</t>
        </is>
      </c>
      <c r="G142" t="inlineStr">
        <is>
          <t>1</t>
        </is>
      </c>
      <c r="H142" t="inlineStr">
        <is>
          <t>No</t>
        </is>
      </c>
      <c r="I142" t="inlineStr">
        <is>
          <t>No</t>
        </is>
      </c>
      <c r="J142" t="inlineStr">
        <is>
          <t>0</t>
        </is>
      </c>
      <c r="L142" t="inlineStr">
        <is>
          <t>Leipzig-Berlin, Verlag Chemie g.m.b.h., 1924-</t>
        </is>
      </c>
      <c r="M142" t="inlineStr">
        <is>
          <t>1924</t>
        </is>
      </c>
      <c r="N142" t="inlineStr">
        <is>
          <t>8. aufl. Hrsg. von der Deutschen chemischen gesellschaft, bearb. von R.J. Meyer, unter beratender mitwirkung von Franz Peters.</t>
        </is>
      </c>
      <c r="O142" t="inlineStr">
        <is>
          <t>ger</t>
        </is>
      </c>
      <c r="P142" t="inlineStr">
        <is>
          <t xml:space="preserve">xx </t>
        </is>
      </c>
      <c r="R142" t="inlineStr">
        <is>
          <t xml:space="preserve">QD </t>
        </is>
      </c>
      <c r="S142" t="n">
        <v>1</v>
      </c>
      <c r="T142" t="n">
        <v>324</v>
      </c>
      <c r="U142" t="inlineStr">
        <is>
          <t>1998-07-27</t>
        </is>
      </c>
      <c r="V142" t="inlineStr">
        <is>
          <t>1998-07-28</t>
        </is>
      </c>
      <c r="W142" t="inlineStr">
        <is>
          <t>1997-06-03</t>
        </is>
      </c>
      <c r="X142" t="inlineStr">
        <is>
          <t>1998-06-24</t>
        </is>
      </c>
      <c r="Y142" t="n">
        <v>259</v>
      </c>
      <c r="Z142" t="n">
        <v>221</v>
      </c>
      <c r="AA142" t="n">
        <v>223</v>
      </c>
      <c r="AB142" t="n">
        <v>2</v>
      </c>
      <c r="AC142" t="n">
        <v>2</v>
      </c>
      <c r="AD142" t="n">
        <v>10</v>
      </c>
      <c r="AE142" t="n">
        <v>10</v>
      </c>
      <c r="AF142" t="n">
        <v>2</v>
      </c>
      <c r="AG142" t="n">
        <v>2</v>
      </c>
      <c r="AH142" t="n">
        <v>2</v>
      </c>
      <c r="AI142" t="n">
        <v>2</v>
      </c>
      <c r="AJ142" t="n">
        <v>8</v>
      </c>
      <c r="AK142" t="n">
        <v>8</v>
      </c>
      <c r="AL142" t="n">
        <v>1</v>
      </c>
      <c r="AM142" t="n">
        <v>1</v>
      </c>
      <c r="AN142" t="n">
        <v>0</v>
      </c>
      <c r="AO142" t="n">
        <v>0</v>
      </c>
      <c r="AP142" t="inlineStr">
        <is>
          <t>No</t>
        </is>
      </c>
      <c r="AQ142" t="inlineStr">
        <is>
          <t>Yes</t>
        </is>
      </c>
      <c r="AR142">
        <f>HYPERLINK("http://catalog.hathitrust.org/Record/009932175","HathiTrust Record")</f>
        <v/>
      </c>
      <c r="AS142">
        <f>HYPERLINK("https://creighton-primo.hosted.exlibrisgroup.com/primo-explore/search?tab=default_tab&amp;search_scope=EVERYTHING&amp;vid=01CRU&amp;lang=en_US&amp;offset=0&amp;query=any,contains,991005356889702656","Catalog Record")</f>
        <v/>
      </c>
      <c r="AT142">
        <f>HYPERLINK("http://www.worldcat.org/oclc/802031","WorldCat Record")</f>
        <v/>
      </c>
      <c r="AU142" t="inlineStr">
        <is>
          <t>4924721893:ger</t>
        </is>
      </c>
      <c r="AV142" t="inlineStr">
        <is>
          <t>802031</t>
        </is>
      </c>
      <c r="AW142" t="inlineStr">
        <is>
          <t>991005356889702656</t>
        </is>
      </c>
      <c r="AX142" t="inlineStr">
        <is>
          <t>991005356889702656</t>
        </is>
      </c>
      <c r="AY142" t="inlineStr">
        <is>
          <t>2270552310002656</t>
        </is>
      </c>
      <c r="AZ142" t="inlineStr">
        <is>
          <t>BOOK</t>
        </is>
      </c>
      <c r="BC142" t="inlineStr">
        <is>
          <t>32285002779881</t>
        </is>
      </c>
      <c r="BD142" t="inlineStr">
        <is>
          <t>893514525</t>
        </is>
      </c>
    </row>
    <row r="143">
      <c r="A143" t="inlineStr">
        <is>
          <t>No</t>
        </is>
      </c>
      <c r="B143" t="inlineStr">
        <is>
          <t>QD151 .G52 NO. 21 SUPP. 7</t>
        </is>
      </c>
      <c r="C143" t="inlineStr">
        <is>
          <t>0                      QD 0151000G  52                                                      NO. 21 SUPP. 7</t>
        </is>
      </c>
      <c r="D143" t="inlineStr">
        <is>
          <t>Gmelins Handbuch der anorganischen chemie.</t>
        </is>
      </c>
      <c r="E143" t="inlineStr">
        <is>
          <t>NO. 21 SUPP. 7*</t>
        </is>
      </c>
      <c r="F143" t="inlineStr">
        <is>
          <t>Yes</t>
        </is>
      </c>
      <c r="G143" t="inlineStr">
        <is>
          <t>1</t>
        </is>
      </c>
      <c r="H143" t="inlineStr">
        <is>
          <t>No</t>
        </is>
      </c>
      <c r="I143" t="inlineStr">
        <is>
          <t>No</t>
        </is>
      </c>
      <c r="J143" t="inlineStr">
        <is>
          <t>0</t>
        </is>
      </c>
      <c r="L143" t="inlineStr">
        <is>
          <t>Leipzig-Berlin, Verlag Chemie g.m.b.h., 1924-</t>
        </is>
      </c>
      <c r="M143" t="inlineStr">
        <is>
          <t>1924</t>
        </is>
      </c>
      <c r="N143" t="inlineStr">
        <is>
          <t>8. aufl. Hrsg. von der Deutschen chemischen gesellschaft, bearb. von R.J. Meyer, unter beratender mitwirkung von Franz Peters.</t>
        </is>
      </c>
      <c r="O143" t="inlineStr">
        <is>
          <t>ger</t>
        </is>
      </c>
      <c r="P143" t="inlineStr">
        <is>
          <t xml:space="preserve">xx </t>
        </is>
      </c>
      <c r="R143" t="inlineStr">
        <is>
          <t xml:space="preserve">QD </t>
        </is>
      </c>
      <c r="S143" t="n">
        <v>1</v>
      </c>
      <c r="T143" t="n">
        <v>324</v>
      </c>
      <c r="U143" t="inlineStr">
        <is>
          <t>1998-07-27</t>
        </is>
      </c>
      <c r="V143" t="inlineStr">
        <is>
          <t>1998-07-28</t>
        </is>
      </c>
      <c r="W143" t="inlineStr">
        <is>
          <t>1997-06-03</t>
        </is>
      </c>
      <c r="X143" t="inlineStr">
        <is>
          <t>1998-06-24</t>
        </is>
      </c>
      <c r="Y143" t="n">
        <v>259</v>
      </c>
      <c r="Z143" t="n">
        <v>221</v>
      </c>
      <c r="AA143" t="n">
        <v>223</v>
      </c>
      <c r="AB143" t="n">
        <v>2</v>
      </c>
      <c r="AC143" t="n">
        <v>2</v>
      </c>
      <c r="AD143" t="n">
        <v>10</v>
      </c>
      <c r="AE143" t="n">
        <v>10</v>
      </c>
      <c r="AF143" t="n">
        <v>2</v>
      </c>
      <c r="AG143" t="n">
        <v>2</v>
      </c>
      <c r="AH143" t="n">
        <v>2</v>
      </c>
      <c r="AI143" t="n">
        <v>2</v>
      </c>
      <c r="AJ143" t="n">
        <v>8</v>
      </c>
      <c r="AK143" t="n">
        <v>8</v>
      </c>
      <c r="AL143" t="n">
        <v>1</v>
      </c>
      <c r="AM143" t="n">
        <v>1</v>
      </c>
      <c r="AN143" t="n">
        <v>0</v>
      </c>
      <c r="AO143" t="n">
        <v>0</v>
      </c>
      <c r="AP143" t="inlineStr">
        <is>
          <t>No</t>
        </is>
      </c>
      <c r="AQ143" t="inlineStr">
        <is>
          <t>Yes</t>
        </is>
      </c>
      <c r="AR143">
        <f>HYPERLINK("http://catalog.hathitrust.org/Record/009932175","HathiTrust Record")</f>
        <v/>
      </c>
      <c r="AS143">
        <f>HYPERLINK("https://creighton-primo.hosted.exlibrisgroup.com/primo-explore/search?tab=default_tab&amp;search_scope=EVERYTHING&amp;vid=01CRU&amp;lang=en_US&amp;offset=0&amp;query=any,contains,991005356889702656","Catalog Record")</f>
        <v/>
      </c>
      <c r="AT143">
        <f>HYPERLINK("http://www.worldcat.org/oclc/802031","WorldCat Record")</f>
        <v/>
      </c>
      <c r="AU143" t="inlineStr">
        <is>
          <t>4924721893:ger</t>
        </is>
      </c>
      <c r="AV143" t="inlineStr">
        <is>
          <t>802031</t>
        </is>
      </c>
      <c r="AW143" t="inlineStr">
        <is>
          <t>991005356889702656</t>
        </is>
      </c>
      <c r="AX143" t="inlineStr">
        <is>
          <t>991005356889702656</t>
        </is>
      </c>
      <c r="AY143" t="inlineStr">
        <is>
          <t>2270552310002656</t>
        </is>
      </c>
      <c r="AZ143" t="inlineStr">
        <is>
          <t>BOOK</t>
        </is>
      </c>
      <c r="BC143" t="inlineStr">
        <is>
          <t>32285002779899</t>
        </is>
      </c>
      <c r="BD143" t="inlineStr">
        <is>
          <t>893520964</t>
        </is>
      </c>
    </row>
    <row r="144">
      <c r="A144" t="inlineStr">
        <is>
          <t>No</t>
        </is>
      </c>
      <c r="B144" t="inlineStr">
        <is>
          <t>QD151 .G52 NO. 22 APP.</t>
        </is>
      </c>
      <c r="C144" t="inlineStr">
        <is>
          <t>0                      QD 0151000G  52                                                      NO. 22 APP.</t>
        </is>
      </c>
      <c r="D144" t="inlineStr">
        <is>
          <t>Gmelins Handbuch der anorganischen chemie.</t>
        </is>
      </c>
      <c r="E144" t="inlineStr">
        <is>
          <t>NO. 22 APP.*</t>
        </is>
      </c>
      <c r="F144" t="inlineStr">
        <is>
          <t>Yes</t>
        </is>
      </c>
      <c r="G144" t="inlineStr">
        <is>
          <t>1</t>
        </is>
      </c>
      <c r="H144" t="inlineStr">
        <is>
          <t>No</t>
        </is>
      </c>
      <c r="I144" t="inlineStr">
        <is>
          <t>No</t>
        </is>
      </c>
      <c r="J144" t="inlineStr">
        <is>
          <t>0</t>
        </is>
      </c>
      <c r="L144" t="inlineStr">
        <is>
          <t>Leipzig-Berlin, Verlag Chemie g.m.b.h., 1924-</t>
        </is>
      </c>
      <c r="M144" t="inlineStr">
        <is>
          <t>1924</t>
        </is>
      </c>
      <c r="N144" t="inlineStr">
        <is>
          <t>8. aufl. Hrsg. von der Deutschen chemischen gesellschaft, bearb. von R.J. Meyer, unter beratender mitwirkung von Franz Peters.</t>
        </is>
      </c>
      <c r="O144" t="inlineStr">
        <is>
          <t>ger</t>
        </is>
      </c>
      <c r="P144" t="inlineStr">
        <is>
          <t xml:space="preserve">xx </t>
        </is>
      </c>
      <c r="R144" t="inlineStr">
        <is>
          <t xml:space="preserve">QD </t>
        </is>
      </c>
      <c r="S144" t="n">
        <v>1</v>
      </c>
      <c r="T144" t="n">
        <v>324</v>
      </c>
      <c r="U144" t="inlineStr">
        <is>
          <t>1998-07-27</t>
        </is>
      </c>
      <c r="V144" t="inlineStr">
        <is>
          <t>1998-07-28</t>
        </is>
      </c>
      <c r="W144" t="inlineStr">
        <is>
          <t>1997-06-03</t>
        </is>
      </c>
      <c r="X144" t="inlineStr">
        <is>
          <t>1998-06-24</t>
        </is>
      </c>
      <c r="Y144" t="n">
        <v>259</v>
      </c>
      <c r="Z144" t="n">
        <v>221</v>
      </c>
      <c r="AA144" t="n">
        <v>223</v>
      </c>
      <c r="AB144" t="n">
        <v>2</v>
      </c>
      <c r="AC144" t="n">
        <v>2</v>
      </c>
      <c r="AD144" t="n">
        <v>10</v>
      </c>
      <c r="AE144" t="n">
        <v>10</v>
      </c>
      <c r="AF144" t="n">
        <v>2</v>
      </c>
      <c r="AG144" t="n">
        <v>2</v>
      </c>
      <c r="AH144" t="n">
        <v>2</v>
      </c>
      <c r="AI144" t="n">
        <v>2</v>
      </c>
      <c r="AJ144" t="n">
        <v>8</v>
      </c>
      <c r="AK144" t="n">
        <v>8</v>
      </c>
      <c r="AL144" t="n">
        <v>1</v>
      </c>
      <c r="AM144" t="n">
        <v>1</v>
      </c>
      <c r="AN144" t="n">
        <v>0</v>
      </c>
      <c r="AO144" t="n">
        <v>0</v>
      </c>
      <c r="AP144" t="inlineStr">
        <is>
          <t>No</t>
        </is>
      </c>
      <c r="AQ144" t="inlineStr">
        <is>
          <t>Yes</t>
        </is>
      </c>
      <c r="AR144">
        <f>HYPERLINK("http://catalog.hathitrust.org/Record/009932175","HathiTrust Record")</f>
        <v/>
      </c>
      <c r="AS144">
        <f>HYPERLINK("https://creighton-primo.hosted.exlibrisgroup.com/primo-explore/search?tab=default_tab&amp;search_scope=EVERYTHING&amp;vid=01CRU&amp;lang=en_US&amp;offset=0&amp;query=any,contains,991005356889702656","Catalog Record")</f>
        <v/>
      </c>
      <c r="AT144">
        <f>HYPERLINK("http://www.worldcat.org/oclc/802031","WorldCat Record")</f>
        <v/>
      </c>
      <c r="AU144" t="inlineStr">
        <is>
          <t>4924721893:ger</t>
        </is>
      </c>
      <c r="AV144" t="inlineStr">
        <is>
          <t>802031</t>
        </is>
      </c>
      <c r="AW144" t="inlineStr">
        <is>
          <t>991005356889702656</t>
        </is>
      </c>
      <c r="AX144" t="inlineStr">
        <is>
          <t>991005356889702656</t>
        </is>
      </c>
      <c r="AY144" t="inlineStr">
        <is>
          <t>2270552310002656</t>
        </is>
      </c>
      <c r="AZ144" t="inlineStr">
        <is>
          <t>BOOK</t>
        </is>
      </c>
      <c r="BC144" t="inlineStr">
        <is>
          <t>32285002779980</t>
        </is>
      </c>
      <c r="BD144" t="inlineStr">
        <is>
          <t>893514524</t>
        </is>
      </c>
    </row>
    <row r="145">
      <c r="A145" t="inlineStr">
        <is>
          <t>No</t>
        </is>
      </c>
      <c r="B145" t="inlineStr">
        <is>
          <t>QD151 .G52 NO. 22 APP. SUPP.</t>
        </is>
      </c>
      <c r="C145" t="inlineStr">
        <is>
          <t>0                      QD 0151000G  52                                                      NO. 22 APP. SUPP.</t>
        </is>
      </c>
      <c r="D145" t="inlineStr">
        <is>
          <t>Gmelins Handbuch der anorganischen chemie.</t>
        </is>
      </c>
      <c r="E145" t="inlineStr">
        <is>
          <t>NO. 22 APP. SUPP.*</t>
        </is>
      </c>
      <c r="F145" t="inlineStr">
        <is>
          <t>Yes</t>
        </is>
      </c>
      <c r="G145" t="inlineStr">
        <is>
          <t>1</t>
        </is>
      </c>
      <c r="H145" t="inlineStr">
        <is>
          <t>No</t>
        </is>
      </c>
      <c r="I145" t="inlineStr">
        <is>
          <t>No</t>
        </is>
      </c>
      <c r="J145" t="inlineStr">
        <is>
          <t>0</t>
        </is>
      </c>
      <c r="L145" t="inlineStr">
        <is>
          <t>Leipzig-Berlin, Verlag Chemie g.m.b.h., 1924-</t>
        </is>
      </c>
      <c r="M145" t="inlineStr">
        <is>
          <t>1924</t>
        </is>
      </c>
      <c r="N145" t="inlineStr">
        <is>
          <t>8. aufl. Hrsg. von der Deutschen chemischen gesellschaft, bearb. von R.J. Meyer, unter beratender mitwirkung von Franz Peters.</t>
        </is>
      </c>
      <c r="O145" t="inlineStr">
        <is>
          <t>ger</t>
        </is>
      </c>
      <c r="P145" t="inlineStr">
        <is>
          <t xml:space="preserve">xx </t>
        </is>
      </c>
      <c r="R145" t="inlineStr">
        <is>
          <t xml:space="preserve">QD </t>
        </is>
      </c>
      <c r="S145" t="n">
        <v>1</v>
      </c>
      <c r="T145" t="n">
        <v>324</v>
      </c>
      <c r="U145" t="inlineStr">
        <is>
          <t>1998-07-27</t>
        </is>
      </c>
      <c r="V145" t="inlineStr">
        <is>
          <t>1998-07-28</t>
        </is>
      </c>
      <c r="W145" t="inlineStr">
        <is>
          <t>1997-06-03</t>
        </is>
      </c>
      <c r="X145" t="inlineStr">
        <is>
          <t>1998-06-24</t>
        </is>
      </c>
      <c r="Y145" t="n">
        <v>259</v>
      </c>
      <c r="Z145" t="n">
        <v>221</v>
      </c>
      <c r="AA145" t="n">
        <v>223</v>
      </c>
      <c r="AB145" t="n">
        <v>2</v>
      </c>
      <c r="AC145" t="n">
        <v>2</v>
      </c>
      <c r="AD145" t="n">
        <v>10</v>
      </c>
      <c r="AE145" t="n">
        <v>10</v>
      </c>
      <c r="AF145" t="n">
        <v>2</v>
      </c>
      <c r="AG145" t="n">
        <v>2</v>
      </c>
      <c r="AH145" t="n">
        <v>2</v>
      </c>
      <c r="AI145" t="n">
        <v>2</v>
      </c>
      <c r="AJ145" t="n">
        <v>8</v>
      </c>
      <c r="AK145" t="n">
        <v>8</v>
      </c>
      <c r="AL145" t="n">
        <v>1</v>
      </c>
      <c r="AM145" t="n">
        <v>1</v>
      </c>
      <c r="AN145" t="n">
        <v>0</v>
      </c>
      <c r="AO145" t="n">
        <v>0</v>
      </c>
      <c r="AP145" t="inlineStr">
        <is>
          <t>No</t>
        </is>
      </c>
      <c r="AQ145" t="inlineStr">
        <is>
          <t>Yes</t>
        </is>
      </c>
      <c r="AR145">
        <f>HYPERLINK("http://catalog.hathitrust.org/Record/009932175","HathiTrust Record")</f>
        <v/>
      </c>
      <c r="AS145">
        <f>HYPERLINK("https://creighton-primo.hosted.exlibrisgroup.com/primo-explore/search?tab=default_tab&amp;search_scope=EVERYTHING&amp;vid=01CRU&amp;lang=en_US&amp;offset=0&amp;query=any,contains,991005356889702656","Catalog Record")</f>
        <v/>
      </c>
      <c r="AT145">
        <f>HYPERLINK("http://www.worldcat.org/oclc/802031","WorldCat Record")</f>
        <v/>
      </c>
      <c r="AU145" t="inlineStr">
        <is>
          <t>4924721893:ger</t>
        </is>
      </c>
      <c r="AV145" t="inlineStr">
        <is>
          <t>802031</t>
        </is>
      </c>
      <c r="AW145" t="inlineStr">
        <is>
          <t>991005356889702656</t>
        </is>
      </c>
      <c r="AX145" t="inlineStr">
        <is>
          <t>991005356889702656</t>
        </is>
      </c>
      <c r="AY145" t="inlineStr">
        <is>
          <t>2270552310002656</t>
        </is>
      </c>
      <c r="AZ145" t="inlineStr">
        <is>
          <t>BOOK</t>
        </is>
      </c>
      <c r="BC145" t="inlineStr">
        <is>
          <t>32285002779998</t>
        </is>
      </c>
      <c r="BD145" t="inlineStr">
        <is>
          <t>893520963</t>
        </is>
      </c>
    </row>
    <row r="146">
      <c r="A146" t="inlineStr">
        <is>
          <t>No</t>
        </is>
      </c>
      <c r="B146" t="inlineStr">
        <is>
          <t>QD151 .G52 NO. 22 SECT. 1</t>
        </is>
      </c>
      <c r="C146" t="inlineStr">
        <is>
          <t>0                      QD 0151000G  52                                                      NO. 22 SECT. 1</t>
        </is>
      </c>
      <c r="D146" t="inlineStr">
        <is>
          <t>Gmelins Handbuch der anorganischen chemie.</t>
        </is>
      </c>
      <c r="E146" t="inlineStr">
        <is>
          <t>NO. 22 SECT. 1*</t>
        </is>
      </c>
      <c r="F146" t="inlineStr">
        <is>
          <t>Yes</t>
        </is>
      </c>
      <c r="G146" t="inlineStr">
        <is>
          <t>1</t>
        </is>
      </c>
      <c r="H146" t="inlineStr">
        <is>
          <t>No</t>
        </is>
      </c>
      <c r="I146" t="inlineStr">
        <is>
          <t>No</t>
        </is>
      </c>
      <c r="J146" t="inlineStr">
        <is>
          <t>0</t>
        </is>
      </c>
      <c r="L146" t="inlineStr">
        <is>
          <t>Leipzig-Berlin, Verlag Chemie g.m.b.h., 1924-</t>
        </is>
      </c>
      <c r="M146" t="inlineStr">
        <is>
          <t>1924</t>
        </is>
      </c>
      <c r="N146" t="inlineStr">
        <is>
          <t>8. aufl. Hrsg. von der Deutschen chemischen gesellschaft, bearb. von R.J. Meyer, unter beratender mitwirkung von Franz Peters.</t>
        </is>
      </c>
      <c r="O146" t="inlineStr">
        <is>
          <t>ger</t>
        </is>
      </c>
      <c r="P146" t="inlineStr">
        <is>
          <t xml:space="preserve">xx </t>
        </is>
      </c>
      <c r="R146" t="inlineStr">
        <is>
          <t xml:space="preserve">QD </t>
        </is>
      </c>
      <c r="S146" t="n">
        <v>1</v>
      </c>
      <c r="T146" t="n">
        <v>324</v>
      </c>
      <c r="U146" t="inlineStr">
        <is>
          <t>1998-07-27</t>
        </is>
      </c>
      <c r="V146" t="inlineStr">
        <is>
          <t>1998-07-28</t>
        </is>
      </c>
      <c r="W146" t="inlineStr">
        <is>
          <t>1997-06-03</t>
        </is>
      </c>
      <c r="X146" t="inlineStr">
        <is>
          <t>1998-06-24</t>
        </is>
      </c>
      <c r="Y146" t="n">
        <v>259</v>
      </c>
      <c r="Z146" t="n">
        <v>221</v>
      </c>
      <c r="AA146" t="n">
        <v>223</v>
      </c>
      <c r="AB146" t="n">
        <v>2</v>
      </c>
      <c r="AC146" t="n">
        <v>2</v>
      </c>
      <c r="AD146" t="n">
        <v>10</v>
      </c>
      <c r="AE146" t="n">
        <v>10</v>
      </c>
      <c r="AF146" t="n">
        <v>2</v>
      </c>
      <c r="AG146" t="n">
        <v>2</v>
      </c>
      <c r="AH146" t="n">
        <v>2</v>
      </c>
      <c r="AI146" t="n">
        <v>2</v>
      </c>
      <c r="AJ146" t="n">
        <v>8</v>
      </c>
      <c r="AK146" t="n">
        <v>8</v>
      </c>
      <c r="AL146" t="n">
        <v>1</v>
      </c>
      <c r="AM146" t="n">
        <v>1</v>
      </c>
      <c r="AN146" t="n">
        <v>0</v>
      </c>
      <c r="AO146" t="n">
        <v>0</v>
      </c>
      <c r="AP146" t="inlineStr">
        <is>
          <t>No</t>
        </is>
      </c>
      <c r="AQ146" t="inlineStr">
        <is>
          <t>Yes</t>
        </is>
      </c>
      <c r="AR146">
        <f>HYPERLINK("http://catalog.hathitrust.org/Record/009932175","HathiTrust Record")</f>
        <v/>
      </c>
      <c r="AS146">
        <f>HYPERLINK("https://creighton-primo.hosted.exlibrisgroup.com/primo-explore/search?tab=default_tab&amp;search_scope=EVERYTHING&amp;vid=01CRU&amp;lang=en_US&amp;offset=0&amp;query=any,contains,991005356889702656","Catalog Record")</f>
        <v/>
      </c>
      <c r="AT146">
        <f>HYPERLINK("http://www.worldcat.org/oclc/802031","WorldCat Record")</f>
        <v/>
      </c>
      <c r="AU146" t="inlineStr">
        <is>
          <t>4924721893:ger</t>
        </is>
      </c>
      <c r="AV146" t="inlineStr">
        <is>
          <t>802031</t>
        </is>
      </c>
      <c r="AW146" t="inlineStr">
        <is>
          <t>991005356889702656</t>
        </is>
      </c>
      <c r="AX146" t="inlineStr">
        <is>
          <t>991005356889702656</t>
        </is>
      </c>
      <c r="AY146" t="inlineStr">
        <is>
          <t>2270552310002656</t>
        </is>
      </c>
      <c r="AZ146" t="inlineStr">
        <is>
          <t>BOOK</t>
        </is>
      </c>
      <c r="BC146" t="inlineStr">
        <is>
          <t>32285002779915</t>
        </is>
      </c>
      <c r="BD146" t="inlineStr">
        <is>
          <t>893520928</t>
        </is>
      </c>
    </row>
    <row r="147">
      <c r="A147" t="inlineStr">
        <is>
          <t>No</t>
        </is>
      </c>
      <c r="B147" t="inlineStr">
        <is>
          <t>QD151 .G52 NO. 22 SECT. 2</t>
        </is>
      </c>
      <c r="C147" t="inlineStr">
        <is>
          <t>0                      QD 0151000G  52                                                      NO. 22 SECT. 2</t>
        </is>
      </c>
      <c r="D147" t="inlineStr">
        <is>
          <t>Gmelins Handbuch der anorganischen chemie.</t>
        </is>
      </c>
      <c r="E147" t="inlineStr">
        <is>
          <t>NO. 22 SECT. 2*</t>
        </is>
      </c>
      <c r="F147" t="inlineStr">
        <is>
          <t>Yes</t>
        </is>
      </c>
      <c r="G147" t="inlineStr">
        <is>
          <t>1</t>
        </is>
      </c>
      <c r="H147" t="inlineStr">
        <is>
          <t>No</t>
        </is>
      </c>
      <c r="I147" t="inlineStr">
        <is>
          <t>No</t>
        </is>
      </c>
      <c r="J147" t="inlineStr">
        <is>
          <t>0</t>
        </is>
      </c>
      <c r="L147" t="inlineStr">
        <is>
          <t>Leipzig-Berlin, Verlag Chemie g.m.b.h., 1924-</t>
        </is>
      </c>
      <c r="M147" t="inlineStr">
        <is>
          <t>1924</t>
        </is>
      </c>
      <c r="N147" t="inlineStr">
        <is>
          <t>8. aufl. Hrsg. von der Deutschen chemischen gesellschaft, bearb. von R.J. Meyer, unter beratender mitwirkung von Franz Peters.</t>
        </is>
      </c>
      <c r="O147" t="inlineStr">
        <is>
          <t>ger</t>
        </is>
      </c>
      <c r="P147" t="inlineStr">
        <is>
          <t xml:space="preserve">xx </t>
        </is>
      </c>
      <c r="R147" t="inlineStr">
        <is>
          <t xml:space="preserve">QD </t>
        </is>
      </c>
      <c r="S147" t="n">
        <v>1</v>
      </c>
      <c r="T147" t="n">
        <v>324</v>
      </c>
      <c r="U147" t="inlineStr">
        <is>
          <t>1998-07-27</t>
        </is>
      </c>
      <c r="V147" t="inlineStr">
        <is>
          <t>1998-07-28</t>
        </is>
      </c>
      <c r="W147" t="inlineStr">
        <is>
          <t>1997-06-03</t>
        </is>
      </c>
      <c r="X147" t="inlineStr">
        <is>
          <t>1998-06-24</t>
        </is>
      </c>
      <c r="Y147" t="n">
        <v>259</v>
      </c>
      <c r="Z147" t="n">
        <v>221</v>
      </c>
      <c r="AA147" t="n">
        <v>223</v>
      </c>
      <c r="AB147" t="n">
        <v>2</v>
      </c>
      <c r="AC147" t="n">
        <v>2</v>
      </c>
      <c r="AD147" t="n">
        <v>10</v>
      </c>
      <c r="AE147" t="n">
        <v>10</v>
      </c>
      <c r="AF147" t="n">
        <v>2</v>
      </c>
      <c r="AG147" t="n">
        <v>2</v>
      </c>
      <c r="AH147" t="n">
        <v>2</v>
      </c>
      <c r="AI147" t="n">
        <v>2</v>
      </c>
      <c r="AJ147" t="n">
        <v>8</v>
      </c>
      <c r="AK147" t="n">
        <v>8</v>
      </c>
      <c r="AL147" t="n">
        <v>1</v>
      </c>
      <c r="AM147" t="n">
        <v>1</v>
      </c>
      <c r="AN147" t="n">
        <v>0</v>
      </c>
      <c r="AO147" t="n">
        <v>0</v>
      </c>
      <c r="AP147" t="inlineStr">
        <is>
          <t>No</t>
        </is>
      </c>
      <c r="AQ147" t="inlineStr">
        <is>
          <t>Yes</t>
        </is>
      </c>
      <c r="AR147">
        <f>HYPERLINK("http://catalog.hathitrust.org/Record/009932175","HathiTrust Record")</f>
        <v/>
      </c>
      <c r="AS147">
        <f>HYPERLINK("https://creighton-primo.hosted.exlibrisgroup.com/primo-explore/search?tab=default_tab&amp;search_scope=EVERYTHING&amp;vid=01CRU&amp;lang=en_US&amp;offset=0&amp;query=any,contains,991005356889702656","Catalog Record")</f>
        <v/>
      </c>
      <c r="AT147">
        <f>HYPERLINK("http://www.worldcat.org/oclc/802031","WorldCat Record")</f>
        <v/>
      </c>
      <c r="AU147" t="inlineStr">
        <is>
          <t>4924721893:ger</t>
        </is>
      </c>
      <c r="AV147" t="inlineStr">
        <is>
          <t>802031</t>
        </is>
      </c>
      <c r="AW147" t="inlineStr">
        <is>
          <t>991005356889702656</t>
        </is>
      </c>
      <c r="AX147" t="inlineStr">
        <is>
          <t>991005356889702656</t>
        </is>
      </c>
      <c r="AY147" t="inlineStr">
        <is>
          <t>2270552310002656</t>
        </is>
      </c>
      <c r="AZ147" t="inlineStr">
        <is>
          <t>BOOK</t>
        </is>
      </c>
      <c r="BC147" t="inlineStr">
        <is>
          <t>32285002779923</t>
        </is>
      </c>
      <c r="BD147" t="inlineStr">
        <is>
          <t>893533644</t>
        </is>
      </c>
    </row>
    <row r="148">
      <c r="A148" t="inlineStr">
        <is>
          <t>No</t>
        </is>
      </c>
      <c r="B148" t="inlineStr">
        <is>
          <t>QD151 .G52 NO. 22 SECT. 3</t>
        </is>
      </c>
      <c r="C148" t="inlineStr">
        <is>
          <t>0                      QD 0151000G  52                                                      NO. 22 SECT. 3</t>
        </is>
      </c>
      <c r="D148" t="inlineStr">
        <is>
          <t>Gmelins Handbuch der anorganischen chemie.</t>
        </is>
      </c>
      <c r="E148" t="inlineStr">
        <is>
          <t>NO. 22 SECT. 3*</t>
        </is>
      </c>
      <c r="F148" t="inlineStr">
        <is>
          <t>Yes</t>
        </is>
      </c>
      <c r="G148" t="inlineStr">
        <is>
          <t>1</t>
        </is>
      </c>
      <c r="H148" t="inlineStr">
        <is>
          <t>No</t>
        </is>
      </c>
      <c r="I148" t="inlineStr">
        <is>
          <t>No</t>
        </is>
      </c>
      <c r="J148" t="inlineStr">
        <is>
          <t>0</t>
        </is>
      </c>
      <c r="L148" t="inlineStr">
        <is>
          <t>Leipzig-Berlin, Verlag Chemie g.m.b.h., 1924-</t>
        </is>
      </c>
      <c r="M148" t="inlineStr">
        <is>
          <t>1924</t>
        </is>
      </c>
      <c r="N148" t="inlineStr">
        <is>
          <t>8. aufl. Hrsg. von der Deutschen chemischen gesellschaft, bearb. von R.J. Meyer, unter beratender mitwirkung von Franz Peters.</t>
        </is>
      </c>
      <c r="O148" t="inlineStr">
        <is>
          <t>ger</t>
        </is>
      </c>
      <c r="P148" t="inlineStr">
        <is>
          <t xml:space="preserve">xx </t>
        </is>
      </c>
      <c r="R148" t="inlineStr">
        <is>
          <t xml:space="preserve">QD </t>
        </is>
      </c>
      <c r="S148" t="n">
        <v>1</v>
      </c>
      <c r="T148" t="n">
        <v>324</v>
      </c>
      <c r="U148" t="inlineStr">
        <is>
          <t>1998-07-27</t>
        </is>
      </c>
      <c r="V148" t="inlineStr">
        <is>
          <t>1998-07-28</t>
        </is>
      </c>
      <c r="W148" t="inlineStr">
        <is>
          <t>1997-06-03</t>
        </is>
      </c>
      <c r="X148" t="inlineStr">
        <is>
          <t>1998-06-24</t>
        </is>
      </c>
      <c r="Y148" t="n">
        <v>259</v>
      </c>
      <c r="Z148" t="n">
        <v>221</v>
      </c>
      <c r="AA148" t="n">
        <v>223</v>
      </c>
      <c r="AB148" t="n">
        <v>2</v>
      </c>
      <c r="AC148" t="n">
        <v>2</v>
      </c>
      <c r="AD148" t="n">
        <v>10</v>
      </c>
      <c r="AE148" t="n">
        <v>10</v>
      </c>
      <c r="AF148" t="n">
        <v>2</v>
      </c>
      <c r="AG148" t="n">
        <v>2</v>
      </c>
      <c r="AH148" t="n">
        <v>2</v>
      </c>
      <c r="AI148" t="n">
        <v>2</v>
      </c>
      <c r="AJ148" t="n">
        <v>8</v>
      </c>
      <c r="AK148" t="n">
        <v>8</v>
      </c>
      <c r="AL148" t="n">
        <v>1</v>
      </c>
      <c r="AM148" t="n">
        <v>1</v>
      </c>
      <c r="AN148" t="n">
        <v>0</v>
      </c>
      <c r="AO148" t="n">
        <v>0</v>
      </c>
      <c r="AP148" t="inlineStr">
        <is>
          <t>No</t>
        </is>
      </c>
      <c r="AQ148" t="inlineStr">
        <is>
          <t>Yes</t>
        </is>
      </c>
      <c r="AR148">
        <f>HYPERLINK("http://catalog.hathitrust.org/Record/009932175","HathiTrust Record")</f>
        <v/>
      </c>
      <c r="AS148">
        <f>HYPERLINK("https://creighton-primo.hosted.exlibrisgroup.com/primo-explore/search?tab=default_tab&amp;search_scope=EVERYTHING&amp;vid=01CRU&amp;lang=en_US&amp;offset=0&amp;query=any,contains,991005356889702656","Catalog Record")</f>
        <v/>
      </c>
      <c r="AT148">
        <f>HYPERLINK("http://www.worldcat.org/oclc/802031","WorldCat Record")</f>
        <v/>
      </c>
      <c r="AU148" t="inlineStr">
        <is>
          <t>4924721893:ger</t>
        </is>
      </c>
      <c r="AV148" t="inlineStr">
        <is>
          <t>802031</t>
        </is>
      </c>
      <c r="AW148" t="inlineStr">
        <is>
          <t>991005356889702656</t>
        </is>
      </c>
      <c r="AX148" t="inlineStr">
        <is>
          <t>991005356889702656</t>
        </is>
      </c>
      <c r="AY148" t="inlineStr">
        <is>
          <t>2270552310002656</t>
        </is>
      </c>
      <c r="AZ148" t="inlineStr">
        <is>
          <t>BOOK</t>
        </is>
      </c>
      <c r="BC148" t="inlineStr">
        <is>
          <t>32285002779931</t>
        </is>
      </c>
      <c r="BD148" t="inlineStr">
        <is>
          <t>893514523</t>
        </is>
      </c>
    </row>
    <row r="149">
      <c r="A149" t="inlineStr">
        <is>
          <t>No</t>
        </is>
      </c>
      <c r="B149" t="inlineStr">
        <is>
          <t>QD151 .G52 NO. 22 SECT. 4</t>
        </is>
      </c>
      <c r="C149" t="inlineStr">
        <is>
          <t>0                      QD 0151000G  52                                                      NO. 22 SECT. 4</t>
        </is>
      </c>
      <c r="D149" t="inlineStr">
        <is>
          <t>Gmelins Handbuch der anorganischen chemie.</t>
        </is>
      </c>
      <c r="E149" t="inlineStr">
        <is>
          <t>NO. 22 SECT. 4*</t>
        </is>
      </c>
      <c r="F149" t="inlineStr">
        <is>
          <t>Yes</t>
        </is>
      </c>
      <c r="G149" t="inlineStr">
        <is>
          <t>1</t>
        </is>
      </c>
      <c r="H149" t="inlineStr">
        <is>
          <t>No</t>
        </is>
      </c>
      <c r="I149" t="inlineStr">
        <is>
          <t>No</t>
        </is>
      </c>
      <c r="J149" t="inlineStr">
        <is>
          <t>0</t>
        </is>
      </c>
      <c r="L149" t="inlineStr">
        <is>
          <t>Leipzig-Berlin, Verlag Chemie g.m.b.h., 1924-</t>
        </is>
      </c>
      <c r="M149" t="inlineStr">
        <is>
          <t>1924</t>
        </is>
      </c>
      <c r="N149" t="inlineStr">
        <is>
          <t>8. aufl. Hrsg. von der Deutschen chemischen gesellschaft, bearb. von R.J. Meyer, unter beratender mitwirkung von Franz Peters.</t>
        </is>
      </c>
      <c r="O149" t="inlineStr">
        <is>
          <t>ger</t>
        </is>
      </c>
      <c r="P149" t="inlineStr">
        <is>
          <t xml:space="preserve">xx </t>
        </is>
      </c>
      <c r="R149" t="inlineStr">
        <is>
          <t xml:space="preserve">QD </t>
        </is>
      </c>
      <c r="S149" t="n">
        <v>1</v>
      </c>
      <c r="T149" t="n">
        <v>324</v>
      </c>
      <c r="U149" t="inlineStr">
        <is>
          <t>1998-07-27</t>
        </is>
      </c>
      <c r="V149" t="inlineStr">
        <is>
          <t>1998-07-28</t>
        </is>
      </c>
      <c r="W149" t="inlineStr">
        <is>
          <t>1997-06-03</t>
        </is>
      </c>
      <c r="X149" t="inlineStr">
        <is>
          <t>1998-06-24</t>
        </is>
      </c>
      <c r="Y149" t="n">
        <v>259</v>
      </c>
      <c r="Z149" t="n">
        <v>221</v>
      </c>
      <c r="AA149" t="n">
        <v>223</v>
      </c>
      <c r="AB149" t="n">
        <v>2</v>
      </c>
      <c r="AC149" t="n">
        <v>2</v>
      </c>
      <c r="AD149" t="n">
        <v>10</v>
      </c>
      <c r="AE149" t="n">
        <v>10</v>
      </c>
      <c r="AF149" t="n">
        <v>2</v>
      </c>
      <c r="AG149" t="n">
        <v>2</v>
      </c>
      <c r="AH149" t="n">
        <v>2</v>
      </c>
      <c r="AI149" t="n">
        <v>2</v>
      </c>
      <c r="AJ149" t="n">
        <v>8</v>
      </c>
      <c r="AK149" t="n">
        <v>8</v>
      </c>
      <c r="AL149" t="n">
        <v>1</v>
      </c>
      <c r="AM149" t="n">
        <v>1</v>
      </c>
      <c r="AN149" t="n">
        <v>0</v>
      </c>
      <c r="AO149" t="n">
        <v>0</v>
      </c>
      <c r="AP149" t="inlineStr">
        <is>
          <t>No</t>
        </is>
      </c>
      <c r="AQ149" t="inlineStr">
        <is>
          <t>Yes</t>
        </is>
      </c>
      <c r="AR149">
        <f>HYPERLINK("http://catalog.hathitrust.org/Record/009932175","HathiTrust Record")</f>
        <v/>
      </c>
      <c r="AS149">
        <f>HYPERLINK("https://creighton-primo.hosted.exlibrisgroup.com/primo-explore/search?tab=default_tab&amp;search_scope=EVERYTHING&amp;vid=01CRU&amp;lang=en_US&amp;offset=0&amp;query=any,contains,991005356889702656","Catalog Record")</f>
        <v/>
      </c>
      <c r="AT149">
        <f>HYPERLINK("http://www.worldcat.org/oclc/802031","WorldCat Record")</f>
        <v/>
      </c>
      <c r="AU149" t="inlineStr">
        <is>
          <t>4924721893:ger</t>
        </is>
      </c>
      <c r="AV149" t="inlineStr">
        <is>
          <t>802031</t>
        </is>
      </c>
      <c r="AW149" t="inlineStr">
        <is>
          <t>991005356889702656</t>
        </is>
      </c>
      <c r="AX149" t="inlineStr">
        <is>
          <t>991005356889702656</t>
        </is>
      </c>
      <c r="AY149" t="inlineStr">
        <is>
          <t>2270552310002656</t>
        </is>
      </c>
      <c r="AZ149" t="inlineStr">
        <is>
          <t>BOOK</t>
        </is>
      </c>
      <c r="BC149" t="inlineStr">
        <is>
          <t>32285002779949</t>
        </is>
      </c>
      <c r="BD149" t="inlineStr">
        <is>
          <t>893527420</t>
        </is>
      </c>
    </row>
    <row r="150">
      <c r="A150" t="inlineStr">
        <is>
          <t>No</t>
        </is>
      </c>
      <c r="B150" t="inlineStr">
        <is>
          <t>QD151 .G52 NO. 22 SECT. 5</t>
        </is>
      </c>
      <c r="C150" t="inlineStr">
        <is>
          <t>0                      QD 0151000G  52                                                      NO. 22 SECT. 5</t>
        </is>
      </c>
      <c r="D150" t="inlineStr">
        <is>
          <t>Gmelins Handbuch der anorganischen chemie.</t>
        </is>
      </c>
      <c r="E150" t="inlineStr">
        <is>
          <t>NO. 22 SECT. 5*</t>
        </is>
      </c>
      <c r="F150" t="inlineStr">
        <is>
          <t>Yes</t>
        </is>
      </c>
      <c r="G150" t="inlineStr">
        <is>
          <t>1</t>
        </is>
      </c>
      <c r="H150" t="inlineStr">
        <is>
          <t>No</t>
        </is>
      </c>
      <c r="I150" t="inlineStr">
        <is>
          <t>No</t>
        </is>
      </c>
      <c r="J150" t="inlineStr">
        <is>
          <t>0</t>
        </is>
      </c>
      <c r="L150" t="inlineStr">
        <is>
          <t>Leipzig-Berlin, Verlag Chemie g.m.b.h., 1924-</t>
        </is>
      </c>
      <c r="M150" t="inlineStr">
        <is>
          <t>1924</t>
        </is>
      </c>
      <c r="N150" t="inlineStr">
        <is>
          <t>8. aufl. Hrsg. von der Deutschen chemischen gesellschaft, bearb. von R.J. Meyer, unter beratender mitwirkung von Franz Peters.</t>
        </is>
      </c>
      <c r="O150" t="inlineStr">
        <is>
          <t>ger</t>
        </is>
      </c>
      <c r="P150" t="inlineStr">
        <is>
          <t xml:space="preserve">xx </t>
        </is>
      </c>
      <c r="R150" t="inlineStr">
        <is>
          <t xml:space="preserve">QD </t>
        </is>
      </c>
      <c r="S150" t="n">
        <v>1</v>
      </c>
      <c r="T150" t="n">
        <v>324</v>
      </c>
      <c r="U150" t="inlineStr">
        <is>
          <t>1998-07-27</t>
        </is>
      </c>
      <c r="V150" t="inlineStr">
        <is>
          <t>1998-07-28</t>
        </is>
      </c>
      <c r="W150" t="inlineStr">
        <is>
          <t>1997-06-03</t>
        </is>
      </c>
      <c r="X150" t="inlineStr">
        <is>
          <t>1998-06-24</t>
        </is>
      </c>
      <c r="Y150" t="n">
        <v>259</v>
      </c>
      <c r="Z150" t="n">
        <v>221</v>
      </c>
      <c r="AA150" t="n">
        <v>223</v>
      </c>
      <c r="AB150" t="n">
        <v>2</v>
      </c>
      <c r="AC150" t="n">
        <v>2</v>
      </c>
      <c r="AD150" t="n">
        <v>10</v>
      </c>
      <c r="AE150" t="n">
        <v>10</v>
      </c>
      <c r="AF150" t="n">
        <v>2</v>
      </c>
      <c r="AG150" t="n">
        <v>2</v>
      </c>
      <c r="AH150" t="n">
        <v>2</v>
      </c>
      <c r="AI150" t="n">
        <v>2</v>
      </c>
      <c r="AJ150" t="n">
        <v>8</v>
      </c>
      <c r="AK150" t="n">
        <v>8</v>
      </c>
      <c r="AL150" t="n">
        <v>1</v>
      </c>
      <c r="AM150" t="n">
        <v>1</v>
      </c>
      <c r="AN150" t="n">
        <v>0</v>
      </c>
      <c r="AO150" t="n">
        <v>0</v>
      </c>
      <c r="AP150" t="inlineStr">
        <is>
          <t>No</t>
        </is>
      </c>
      <c r="AQ150" t="inlineStr">
        <is>
          <t>Yes</t>
        </is>
      </c>
      <c r="AR150">
        <f>HYPERLINK("http://catalog.hathitrust.org/Record/009932175","HathiTrust Record")</f>
        <v/>
      </c>
      <c r="AS150">
        <f>HYPERLINK("https://creighton-primo.hosted.exlibrisgroup.com/primo-explore/search?tab=default_tab&amp;search_scope=EVERYTHING&amp;vid=01CRU&amp;lang=en_US&amp;offset=0&amp;query=any,contains,991005356889702656","Catalog Record")</f>
        <v/>
      </c>
      <c r="AT150">
        <f>HYPERLINK("http://www.worldcat.org/oclc/802031","WorldCat Record")</f>
        <v/>
      </c>
      <c r="AU150" t="inlineStr">
        <is>
          <t>4924721893:ger</t>
        </is>
      </c>
      <c r="AV150" t="inlineStr">
        <is>
          <t>802031</t>
        </is>
      </c>
      <c r="AW150" t="inlineStr">
        <is>
          <t>991005356889702656</t>
        </is>
      </c>
      <c r="AX150" t="inlineStr">
        <is>
          <t>991005356889702656</t>
        </is>
      </c>
      <c r="AY150" t="inlineStr">
        <is>
          <t>2270552310002656</t>
        </is>
      </c>
      <c r="AZ150" t="inlineStr">
        <is>
          <t>BOOK</t>
        </is>
      </c>
      <c r="BC150" t="inlineStr">
        <is>
          <t>32285002779956</t>
        </is>
      </c>
      <c r="BD150" t="inlineStr">
        <is>
          <t>893508058</t>
        </is>
      </c>
    </row>
    <row r="151">
      <c r="A151" t="inlineStr">
        <is>
          <t>No</t>
        </is>
      </c>
      <c r="B151" t="inlineStr">
        <is>
          <t>QD151 .G52 NO. 22 SECT. 6</t>
        </is>
      </c>
      <c r="C151" t="inlineStr">
        <is>
          <t>0                      QD 0151000G  52                                                      NO. 22 SECT. 6</t>
        </is>
      </c>
      <c r="D151" t="inlineStr">
        <is>
          <t>Gmelins Handbuch der anorganischen chemie.</t>
        </is>
      </c>
      <c r="E151" t="inlineStr">
        <is>
          <t>NO. 22 SECT. 6*</t>
        </is>
      </c>
      <c r="F151" t="inlineStr">
        <is>
          <t>Yes</t>
        </is>
      </c>
      <c r="G151" t="inlineStr">
        <is>
          <t>1</t>
        </is>
      </c>
      <c r="H151" t="inlineStr">
        <is>
          <t>No</t>
        </is>
      </c>
      <c r="I151" t="inlineStr">
        <is>
          <t>No</t>
        </is>
      </c>
      <c r="J151" t="inlineStr">
        <is>
          <t>0</t>
        </is>
      </c>
      <c r="L151" t="inlineStr">
        <is>
          <t>Leipzig-Berlin, Verlag Chemie g.m.b.h., 1924-</t>
        </is>
      </c>
      <c r="M151" t="inlineStr">
        <is>
          <t>1924</t>
        </is>
      </c>
      <c r="N151" t="inlineStr">
        <is>
          <t>8. aufl. Hrsg. von der Deutschen chemischen gesellschaft, bearb. von R.J. Meyer, unter beratender mitwirkung von Franz Peters.</t>
        </is>
      </c>
      <c r="O151" t="inlineStr">
        <is>
          <t>ger</t>
        </is>
      </c>
      <c r="P151" t="inlineStr">
        <is>
          <t xml:space="preserve">xx </t>
        </is>
      </c>
      <c r="R151" t="inlineStr">
        <is>
          <t xml:space="preserve">QD </t>
        </is>
      </c>
      <c r="S151" t="n">
        <v>1</v>
      </c>
      <c r="T151" t="n">
        <v>324</v>
      </c>
      <c r="U151" t="inlineStr">
        <is>
          <t>1998-07-27</t>
        </is>
      </c>
      <c r="V151" t="inlineStr">
        <is>
          <t>1998-07-28</t>
        </is>
      </c>
      <c r="W151" t="inlineStr">
        <is>
          <t>1997-06-03</t>
        </is>
      </c>
      <c r="X151" t="inlineStr">
        <is>
          <t>1998-06-24</t>
        </is>
      </c>
      <c r="Y151" t="n">
        <v>259</v>
      </c>
      <c r="Z151" t="n">
        <v>221</v>
      </c>
      <c r="AA151" t="n">
        <v>223</v>
      </c>
      <c r="AB151" t="n">
        <v>2</v>
      </c>
      <c r="AC151" t="n">
        <v>2</v>
      </c>
      <c r="AD151" t="n">
        <v>10</v>
      </c>
      <c r="AE151" t="n">
        <v>10</v>
      </c>
      <c r="AF151" t="n">
        <v>2</v>
      </c>
      <c r="AG151" t="n">
        <v>2</v>
      </c>
      <c r="AH151" t="n">
        <v>2</v>
      </c>
      <c r="AI151" t="n">
        <v>2</v>
      </c>
      <c r="AJ151" t="n">
        <v>8</v>
      </c>
      <c r="AK151" t="n">
        <v>8</v>
      </c>
      <c r="AL151" t="n">
        <v>1</v>
      </c>
      <c r="AM151" t="n">
        <v>1</v>
      </c>
      <c r="AN151" t="n">
        <v>0</v>
      </c>
      <c r="AO151" t="n">
        <v>0</v>
      </c>
      <c r="AP151" t="inlineStr">
        <is>
          <t>No</t>
        </is>
      </c>
      <c r="AQ151" t="inlineStr">
        <is>
          <t>Yes</t>
        </is>
      </c>
      <c r="AR151">
        <f>HYPERLINK("http://catalog.hathitrust.org/Record/009932175","HathiTrust Record")</f>
        <v/>
      </c>
      <c r="AS151">
        <f>HYPERLINK("https://creighton-primo.hosted.exlibrisgroup.com/primo-explore/search?tab=default_tab&amp;search_scope=EVERYTHING&amp;vid=01CRU&amp;lang=en_US&amp;offset=0&amp;query=any,contains,991005356889702656","Catalog Record")</f>
        <v/>
      </c>
      <c r="AT151">
        <f>HYPERLINK("http://www.worldcat.org/oclc/802031","WorldCat Record")</f>
        <v/>
      </c>
      <c r="AU151" t="inlineStr">
        <is>
          <t>4924721893:ger</t>
        </is>
      </c>
      <c r="AV151" t="inlineStr">
        <is>
          <t>802031</t>
        </is>
      </c>
      <c r="AW151" t="inlineStr">
        <is>
          <t>991005356889702656</t>
        </is>
      </c>
      <c r="AX151" t="inlineStr">
        <is>
          <t>991005356889702656</t>
        </is>
      </c>
      <c r="AY151" t="inlineStr">
        <is>
          <t>2270552310002656</t>
        </is>
      </c>
      <c r="AZ151" t="inlineStr">
        <is>
          <t>BOOK</t>
        </is>
      </c>
      <c r="BC151" t="inlineStr">
        <is>
          <t>32285002779964</t>
        </is>
      </c>
      <c r="BD151" t="inlineStr">
        <is>
          <t>893520962</t>
        </is>
      </c>
    </row>
    <row r="152">
      <c r="A152" t="inlineStr">
        <is>
          <t>No</t>
        </is>
      </c>
      <c r="B152" t="inlineStr">
        <is>
          <t>QD151 .G52 NO. 22 SECT. 7</t>
        </is>
      </c>
      <c r="C152" t="inlineStr">
        <is>
          <t>0                      QD 0151000G  52                                                      NO. 22 SECT. 7</t>
        </is>
      </c>
      <c r="D152" t="inlineStr">
        <is>
          <t>Gmelins Handbuch der anorganischen chemie.</t>
        </is>
      </c>
      <c r="E152" t="inlineStr">
        <is>
          <t>NO. 22 SECT. 7*</t>
        </is>
      </c>
      <c r="F152" t="inlineStr">
        <is>
          <t>Yes</t>
        </is>
      </c>
      <c r="G152" t="inlineStr">
        <is>
          <t>1</t>
        </is>
      </c>
      <c r="H152" t="inlineStr">
        <is>
          <t>No</t>
        </is>
      </c>
      <c r="I152" t="inlineStr">
        <is>
          <t>No</t>
        </is>
      </c>
      <c r="J152" t="inlineStr">
        <is>
          <t>0</t>
        </is>
      </c>
      <c r="L152" t="inlineStr">
        <is>
          <t>Leipzig-Berlin, Verlag Chemie g.m.b.h., 1924-</t>
        </is>
      </c>
      <c r="M152" t="inlineStr">
        <is>
          <t>1924</t>
        </is>
      </c>
      <c r="N152" t="inlineStr">
        <is>
          <t>8. aufl. Hrsg. von der Deutschen chemischen gesellschaft, bearb. von R.J. Meyer, unter beratender mitwirkung von Franz Peters.</t>
        </is>
      </c>
      <c r="O152" t="inlineStr">
        <is>
          <t>ger</t>
        </is>
      </c>
      <c r="P152" t="inlineStr">
        <is>
          <t xml:space="preserve">xx </t>
        </is>
      </c>
      <c r="R152" t="inlineStr">
        <is>
          <t xml:space="preserve">QD </t>
        </is>
      </c>
      <c r="S152" t="n">
        <v>1</v>
      </c>
      <c r="T152" t="n">
        <v>324</v>
      </c>
      <c r="U152" t="inlineStr">
        <is>
          <t>1998-07-27</t>
        </is>
      </c>
      <c r="V152" t="inlineStr">
        <is>
          <t>1998-07-28</t>
        </is>
      </c>
      <c r="W152" t="inlineStr">
        <is>
          <t>1997-06-03</t>
        </is>
      </c>
      <c r="X152" t="inlineStr">
        <is>
          <t>1998-06-24</t>
        </is>
      </c>
      <c r="Y152" t="n">
        <v>259</v>
      </c>
      <c r="Z152" t="n">
        <v>221</v>
      </c>
      <c r="AA152" t="n">
        <v>223</v>
      </c>
      <c r="AB152" t="n">
        <v>2</v>
      </c>
      <c r="AC152" t="n">
        <v>2</v>
      </c>
      <c r="AD152" t="n">
        <v>10</v>
      </c>
      <c r="AE152" t="n">
        <v>10</v>
      </c>
      <c r="AF152" t="n">
        <v>2</v>
      </c>
      <c r="AG152" t="n">
        <v>2</v>
      </c>
      <c r="AH152" t="n">
        <v>2</v>
      </c>
      <c r="AI152" t="n">
        <v>2</v>
      </c>
      <c r="AJ152" t="n">
        <v>8</v>
      </c>
      <c r="AK152" t="n">
        <v>8</v>
      </c>
      <c r="AL152" t="n">
        <v>1</v>
      </c>
      <c r="AM152" t="n">
        <v>1</v>
      </c>
      <c r="AN152" t="n">
        <v>0</v>
      </c>
      <c r="AO152" t="n">
        <v>0</v>
      </c>
      <c r="AP152" t="inlineStr">
        <is>
          <t>No</t>
        </is>
      </c>
      <c r="AQ152" t="inlineStr">
        <is>
          <t>Yes</t>
        </is>
      </c>
      <c r="AR152">
        <f>HYPERLINK("http://catalog.hathitrust.org/Record/009932175","HathiTrust Record")</f>
        <v/>
      </c>
      <c r="AS152">
        <f>HYPERLINK("https://creighton-primo.hosted.exlibrisgroup.com/primo-explore/search?tab=default_tab&amp;search_scope=EVERYTHING&amp;vid=01CRU&amp;lang=en_US&amp;offset=0&amp;query=any,contains,991005356889702656","Catalog Record")</f>
        <v/>
      </c>
      <c r="AT152">
        <f>HYPERLINK("http://www.worldcat.org/oclc/802031","WorldCat Record")</f>
        <v/>
      </c>
      <c r="AU152" t="inlineStr">
        <is>
          <t>4924721893:ger</t>
        </is>
      </c>
      <c r="AV152" t="inlineStr">
        <is>
          <t>802031</t>
        </is>
      </c>
      <c r="AW152" t="inlineStr">
        <is>
          <t>991005356889702656</t>
        </is>
      </c>
      <c r="AX152" t="inlineStr">
        <is>
          <t>991005356889702656</t>
        </is>
      </c>
      <c r="AY152" t="inlineStr">
        <is>
          <t>2270552310002656</t>
        </is>
      </c>
      <c r="AZ152" t="inlineStr">
        <is>
          <t>BOOK</t>
        </is>
      </c>
      <c r="BC152" t="inlineStr">
        <is>
          <t>32285002779972</t>
        </is>
      </c>
      <c r="BD152" t="inlineStr">
        <is>
          <t>893501776</t>
        </is>
      </c>
    </row>
    <row r="153">
      <c r="A153" t="inlineStr">
        <is>
          <t>No</t>
        </is>
      </c>
      <c r="B153" t="inlineStr">
        <is>
          <t>QD151 .G52 NO. 23 SECT. 1</t>
        </is>
      </c>
      <c r="C153" t="inlineStr">
        <is>
          <t>0                      QD 0151000G  52                                                      NO. 23 SECT. 1</t>
        </is>
      </c>
      <c r="D153" t="inlineStr">
        <is>
          <t>Gmelins Handbuch der anorganischen chemie.</t>
        </is>
      </c>
      <c r="E153" t="inlineStr">
        <is>
          <t>NO. 23 SECT. 1*</t>
        </is>
      </c>
      <c r="F153" t="inlineStr">
        <is>
          <t>Yes</t>
        </is>
      </c>
      <c r="G153" t="inlineStr">
        <is>
          <t>1</t>
        </is>
      </c>
      <c r="H153" t="inlineStr">
        <is>
          <t>No</t>
        </is>
      </c>
      <c r="I153" t="inlineStr">
        <is>
          <t>No</t>
        </is>
      </c>
      <c r="J153" t="inlineStr">
        <is>
          <t>0</t>
        </is>
      </c>
      <c r="L153" t="inlineStr">
        <is>
          <t>Leipzig-Berlin, Verlag Chemie g.m.b.h., 1924-</t>
        </is>
      </c>
      <c r="M153" t="inlineStr">
        <is>
          <t>1924</t>
        </is>
      </c>
      <c r="N153" t="inlineStr">
        <is>
          <t>8. aufl. Hrsg. von der Deutschen chemischen gesellschaft, bearb. von R.J. Meyer, unter beratender mitwirkung von Franz Peters.</t>
        </is>
      </c>
      <c r="O153" t="inlineStr">
        <is>
          <t>ger</t>
        </is>
      </c>
      <c r="P153" t="inlineStr">
        <is>
          <t xml:space="preserve">xx </t>
        </is>
      </c>
      <c r="R153" t="inlineStr">
        <is>
          <t xml:space="preserve">QD </t>
        </is>
      </c>
      <c r="S153" t="n">
        <v>1</v>
      </c>
      <c r="T153" t="n">
        <v>324</v>
      </c>
      <c r="U153" t="inlineStr">
        <is>
          <t>1998-07-27</t>
        </is>
      </c>
      <c r="V153" t="inlineStr">
        <is>
          <t>1998-07-28</t>
        </is>
      </c>
      <c r="W153" t="inlineStr">
        <is>
          <t>1997-06-03</t>
        </is>
      </c>
      <c r="X153" t="inlineStr">
        <is>
          <t>1998-06-24</t>
        </is>
      </c>
      <c r="Y153" t="n">
        <v>259</v>
      </c>
      <c r="Z153" t="n">
        <v>221</v>
      </c>
      <c r="AA153" t="n">
        <v>223</v>
      </c>
      <c r="AB153" t="n">
        <v>2</v>
      </c>
      <c r="AC153" t="n">
        <v>2</v>
      </c>
      <c r="AD153" t="n">
        <v>10</v>
      </c>
      <c r="AE153" t="n">
        <v>10</v>
      </c>
      <c r="AF153" t="n">
        <v>2</v>
      </c>
      <c r="AG153" t="n">
        <v>2</v>
      </c>
      <c r="AH153" t="n">
        <v>2</v>
      </c>
      <c r="AI153" t="n">
        <v>2</v>
      </c>
      <c r="AJ153" t="n">
        <v>8</v>
      </c>
      <c r="AK153" t="n">
        <v>8</v>
      </c>
      <c r="AL153" t="n">
        <v>1</v>
      </c>
      <c r="AM153" t="n">
        <v>1</v>
      </c>
      <c r="AN153" t="n">
        <v>0</v>
      </c>
      <c r="AO153" t="n">
        <v>0</v>
      </c>
      <c r="AP153" t="inlineStr">
        <is>
          <t>No</t>
        </is>
      </c>
      <c r="AQ153" t="inlineStr">
        <is>
          <t>Yes</t>
        </is>
      </c>
      <c r="AR153">
        <f>HYPERLINK("http://catalog.hathitrust.org/Record/009932175","HathiTrust Record")</f>
        <v/>
      </c>
      <c r="AS153">
        <f>HYPERLINK("https://creighton-primo.hosted.exlibrisgroup.com/primo-explore/search?tab=default_tab&amp;search_scope=EVERYTHING&amp;vid=01CRU&amp;lang=en_US&amp;offset=0&amp;query=any,contains,991005356889702656","Catalog Record")</f>
        <v/>
      </c>
      <c r="AT153">
        <f>HYPERLINK("http://www.worldcat.org/oclc/802031","WorldCat Record")</f>
        <v/>
      </c>
      <c r="AU153" t="inlineStr">
        <is>
          <t>4924721893:ger</t>
        </is>
      </c>
      <c r="AV153" t="inlineStr">
        <is>
          <t>802031</t>
        </is>
      </c>
      <c r="AW153" t="inlineStr">
        <is>
          <t>991005356889702656</t>
        </is>
      </c>
      <c r="AX153" t="inlineStr">
        <is>
          <t>991005356889702656</t>
        </is>
      </c>
      <c r="AY153" t="inlineStr">
        <is>
          <t>2270552310002656</t>
        </is>
      </c>
      <c r="AZ153" t="inlineStr">
        <is>
          <t>BOOK</t>
        </is>
      </c>
      <c r="BC153" t="inlineStr">
        <is>
          <t>32285002780004</t>
        </is>
      </c>
      <c r="BD153" t="inlineStr">
        <is>
          <t>893527398</t>
        </is>
      </c>
    </row>
    <row r="154">
      <c r="A154" t="inlineStr">
        <is>
          <t>No</t>
        </is>
      </c>
      <c r="B154" t="inlineStr">
        <is>
          <t>QD151 .G52 NO. 23 SECT. 2</t>
        </is>
      </c>
      <c r="C154" t="inlineStr">
        <is>
          <t>0                      QD 0151000G  52                                                      NO. 23 SECT. 2</t>
        </is>
      </c>
      <c r="D154" t="inlineStr">
        <is>
          <t>Gmelins Handbuch der anorganischen chemie.</t>
        </is>
      </c>
      <c r="E154" t="inlineStr">
        <is>
          <t>NO. 23 SECT. 2*</t>
        </is>
      </c>
      <c r="F154" t="inlineStr">
        <is>
          <t>Yes</t>
        </is>
      </c>
      <c r="G154" t="inlineStr">
        <is>
          <t>1</t>
        </is>
      </c>
      <c r="H154" t="inlineStr">
        <is>
          <t>No</t>
        </is>
      </c>
      <c r="I154" t="inlineStr">
        <is>
          <t>No</t>
        </is>
      </c>
      <c r="J154" t="inlineStr">
        <is>
          <t>0</t>
        </is>
      </c>
      <c r="L154" t="inlineStr">
        <is>
          <t>Leipzig-Berlin, Verlag Chemie g.m.b.h., 1924-</t>
        </is>
      </c>
      <c r="M154" t="inlineStr">
        <is>
          <t>1924</t>
        </is>
      </c>
      <c r="N154" t="inlineStr">
        <is>
          <t>8. aufl. Hrsg. von der Deutschen chemischen gesellschaft, bearb. von R.J. Meyer, unter beratender mitwirkung von Franz Peters.</t>
        </is>
      </c>
      <c r="O154" t="inlineStr">
        <is>
          <t>ger</t>
        </is>
      </c>
      <c r="P154" t="inlineStr">
        <is>
          <t xml:space="preserve">xx </t>
        </is>
      </c>
      <c r="R154" t="inlineStr">
        <is>
          <t xml:space="preserve">QD </t>
        </is>
      </c>
      <c r="S154" t="n">
        <v>1</v>
      </c>
      <c r="T154" t="n">
        <v>324</v>
      </c>
      <c r="U154" t="inlineStr">
        <is>
          <t>1998-07-27</t>
        </is>
      </c>
      <c r="V154" t="inlineStr">
        <is>
          <t>1998-07-28</t>
        </is>
      </c>
      <c r="W154" t="inlineStr">
        <is>
          <t>1997-06-03</t>
        </is>
      </c>
      <c r="X154" t="inlineStr">
        <is>
          <t>1998-06-24</t>
        </is>
      </c>
      <c r="Y154" t="n">
        <v>259</v>
      </c>
      <c r="Z154" t="n">
        <v>221</v>
      </c>
      <c r="AA154" t="n">
        <v>223</v>
      </c>
      <c r="AB154" t="n">
        <v>2</v>
      </c>
      <c r="AC154" t="n">
        <v>2</v>
      </c>
      <c r="AD154" t="n">
        <v>10</v>
      </c>
      <c r="AE154" t="n">
        <v>10</v>
      </c>
      <c r="AF154" t="n">
        <v>2</v>
      </c>
      <c r="AG154" t="n">
        <v>2</v>
      </c>
      <c r="AH154" t="n">
        <v>2</v>
      </c>
      <c r="AI154" t="n">
        <v>2</v>
      </c>
      <c r="AJ154" t="n">
        <v>8</v>
      </c>
      <c r="AK154" t="n">
        <v>8</v>
      </c>
      <c r="AL154" t="n">
        <v>1</v>
      </c>
      <c r="AM154" t="n">
        <v>1</v>
      </c>
      <c r="AN154" t="n">
        <v>0</v>
      </c>
      <c r="AO154" t="n">
        <v>0</v>
      </c>
      <c r="AP154" t="inlineStr">
        <is>
          <t>No</t>
        </is>
      </c>
      <c r="AQ154" t="inlineStr">
        <is>
          <t>Yes</t>
        </is>
      </c>
      <c r="AR154">
        <f>HYPERLINK("http://catalog.hathitrust.org/Record/009932175","HathiTrust Record")</f>
        <v/>
      </c>
      <c r="AS154">
        <f>HYPERLINK("https://creighton-primo.hosted.exlibrisgroup.com/primo-explore/search?tab=default_tab&amp;search_scope=EVERYTHING&amp;vid=01CRU&amp;lang=en_US&amp;offset=0&amp;query=any,contains,991005356889702656","Catalog Record")</f>
        <v/>
      </c>
      <c r="AT154">
        <f>HYPERLINK("http://www.worldcat.org/oclc/802031","WorldCat Record")</f>
        <v/>
      </c>
      <c r="AU154" t="inlineStr">
        <is>
          <t>4924721893:ger</t>
        </is>
      </c>
      <c r="AV154" t="inlineStr">
        <is>
          <t>802031</t>
        </is>
      </c>
      <c r="AW154" t="inlineStr">
        <is>
          <t>991005356889702656</t>
        </is>
      </c>
      <c r="AX154" t="inlineStr">
        <is>
          <t>991005356889702656</t>
        </is>
      </c>
      <c r="AY154" t="inlineStr">
        <is>
          <t>2270552310002656</t>
        </is>
      </c>
      <c r="AZ154" t="inlineStr">
        <is>
          <t>BOOK</t>
        </is>
      </c>
      <c r="BC154" t="inlineStr">
        <is>
          <t>32285002790011</t>
        </is>
      </c>
      <c r="BD154" t="inlineStr">
        <is>
          <t>893501775</t>
        </is>
      </c>
    </row>
    <row r="155">
      <c r="A155" t="inlineStr">
        <is>
          <t>No</t>
        </is>
      </c>
      <c r="B155" t="inlineStr">
        <is>
          <t>QD151 .G52 NO. 24</t>
        </is>
      </c>
      <c r="C155" t="inlineStr">
        <is>
          <t>0                      QD 0151000G  52                                                      NO. 24</t>
        </is>
      </c>
      <c r="D155" t="inlineStr">
        <is>
          <t>Gmelins Handbuch der anorganischen chemie.</t>
        </is>
      </c>
      <c r="E155" t="inlineStr">
        <is>
          <t>NO. 24*</t>
        </is>
      </c>
      <c r="F155" t="inlineStr">
        <is>
          <t>Yes</t>
        </is>
      </c>
      <c r="G155" t="inlineStr">
        <is>
          <t>1</t>
        </is>
      </c>
      <c r="H155" t="inlineStr">
        <is>
          <t>No</t>
        </is>
      </c>
      <c r="I155" t="inlineStr">
        <is>
          <t>No</t>
        </is>
      </c>
      <c r="J155" t="inlineStr">
        <is>
          <t>0</t>
        </is>
      </c>
      <c r="L155" t="inlineStr">
        <is>
          <t>Leipzig-Berlin, Verlag Chemie g.m.b.h., 1924-</t>
        </is>
      </c>
      <c r="M155" t="inlineStr">
        <is>
          <t>1924</t>
        </is>
      </c>
      <c r="N155" t="inlineStr">
        <is>
          <t>8. aufl. Hrsg. von der Deutschen chemischen gesellschaft, bearb. von R.J. Meyer, unter beratender mitwirkung von Franz Peters.</t>
        </is>
      </c>
      <c r="O155" t="inlineStr">
        <is>
          <t>ger</t>
        </is>
      </c>
      <c r="P155" t="inlineStr">
        <is>
          <t xml:space="preserve">xx </t>
        </is>
      </c>
      <c r="R155" t="inlineStr">
        <is>
          <t xml:space="preserve">QD </t>
        </is>
      </c>
      <c r="S155" t="n">
        <v>1</v>
      </c>
      <c r="T155" t="n">
        <v>324</v>
      </c>
      <c r="U155" t="inlineStr">
        <is>
          <t>1998-07-27</t>
        </is>
      </c>
      <c r="V155" t="inlineStr">
        <is>
          <t>1998-07-28</t>
        </is>
      </c>
      <c r="W155" t="inlineStr">
        <is>
          <t>1997-06-03</t>
        </is>
      </c>
      <c r="X155" t="inlineStr">
        <is>
          <t>1998-06-24</t>
        </is>
      </c>
      <c r="Y155" t="n">
        <v>259</v>
      </c>
      <c r="Z155" t="n">
        <v>221</v>
      </c>
      <c r="AA155" t="n">
        <v>223</v>
      </c>
      <c r="AB155" t="n">
        <v>2</v>
      </c>
      <c r="AC155" t="n">
        <v>2</v>
      </c>
      <c r="AD155" t="n">
        <v>10</v>
      </c>
      <c r="AE155" t="n">
        <v>10</v>
      </c>
      <c r="AF155" t="n">
        <v>2</v>
      </c>
      <c r="AG155" t="n">
        <v>2</v>
      </c>
      <c r="AH155" t="n">
        <v>2</v>
      </c>
      <c r="AI155" t="n">
        <v>2</v>
      </c>
      <c r="AJ155" t="n">
        <v>8</v>
      </c>
      <c r="AK155" t="n">
        <v>8</v>
      </c>
      <c r="AL155" t="n">
        <v>1</v>
      </c>
      <c r="AM155" t="n">
        <v>1</v>
      </c>
      <c r="AN155" t="n">
        <v>0</v>
      </c>
      <c r="AO155" t="n">
        <v>0</v>
      </c>
      <c r="AP155" t="inlineStr">
        <is>
          <t>No</t>
        </is>
      </c>
      <c r="AQ155" t="inlineStr">
        <is>
          <t>Yes</t>
        </is>
      </c>
      <c r="AR155">
        <f>HYPERLINK("http://catalog.hathitrust.org/Record/009932175","HathiTrust Record")</f>
        <v/>
      </c>
      <c r="AS155">
        <f>HYPERLINK("https://creighton-primo.hosted.exlibrisgroup.com/primo-explore/search?tab=default_tab&amp;search_scope=EVERYTHING&amp;vid=01CRU&amp;lang=en_US&amp;offset=0&amp;query=any,contains,991005356889702656","Catalog Record")</f>
        <v/>
      </c>
      <c r="AT155">
        <f>HYPERLINK("http://www.worldcat.org/oclc/802031","WorldCat Record")</f>
        <v/>
      </c>
      <c r="AU155" t="inlineStr">
        <is>
          <t>4924721893:ger</t>
        </is>
      </c>
      <c r="AV155" t="inlineStr">
        <is>
          <t>802031</t>
        </is>
      </c>
      <c r="AW155" t="inlineStr">
        <is>
          <t>991005356889702656</t>
        </is>
      </c>
      <c r="AX155" t="inlineStr">
        <is>
          <t>991005356889702656</t>
        </is>
      </c>
      <c r="AY155" t="inlineStr">
        <is>
          <t>2270552310002656</t>
        </is>
      </c>
      <c r="AZ155" t="inlineStr">
        <is>
          <t>BOOK</t>
        </is>
      </c>
      <c r="BC155" t="inlineStr">
        <is>
          <t>32285002790029</t>
        </is>
      </c>
      <c r="BD155" t="inlineStr">
        <is>
          <t>893514522</t>
        </is>
      </c>
    </row>
    <row r="156">
      <c r="A156" t="inlineStr">
        <is>
          <t>No</t>
        </is>
      </c>
      <c r="B156" t="inlineStr">
        <is>
          <t>QD151 .G52 NO. 25 SECT. 1</t>
        </is>
      </c>
      <c r="C156" t="inlineStr">
        <is>
          <t>0                      QD 0151000G  52                                                      NO. 25 SECT. 1</t>
        </is>
      </c>
      <c r="D156" t="inlineStr">
        <is>
          <t>Gmelins Handbuch der anorganischen chemie.</t>
        </is>
      </c>
      <c r="E156" t="inlineStr">
        <is>
          <t>NO. 25 SECT. 1*</t>
        </is>
      </c>
      <c r="F156" t="inlineStr">
        <is>
          <t>Yes</t>
        </is>
      </c>
      <c r="G156" t="inlineStr">
        <is>
          <t>1</t>
        </is>
      </c>
      <c r="H156" t="inlineStr">
        <is>
          <t>No</t>
        </is>
      </c>
      <c r="I156" t="inlineStr">
        <is>
          <t>No</t>
        </is>
      </c>
      <c r="J156" t="inlineStr">
        <is>
          <t>0</t>
        </is>
      </c>
      <c r="L156" t="inlineStr">
        <is>
          <t>Leipzig-Berlin, Verlag Chemie g.m.b.h., 1924-</t>
        </is>
      </c>
      <c r="M156" t="inlineStr">
        <is>
          <t>1924</t>
        </is>
      </c>
      <c r="N156" t="inlineStr">
        <is>
          <t>8. aufl. Hrsg. von der Deutschen chemischen gesellschaft, bearb. von R.J. Meyer, unter beratender mitwirkung von Franz Peters.</t>
        </is>
      </c>
      <c r="O156" t="inlineStr">
        <is>
          <t>ger</t>
        </is>
      </c>
      <c r="P156" t="inlineStr">
        <is>
          <t xml:space="preserve">xx </t>
        </is>
      </c>
      <c r="R156" t="inlineStr">
        <is>
          <t xml:space="preserve">QD </t>
        </is>
      </c>
      <c r="S156" t="n">
        <v>1</v>
      </c>
      <c r="T156" t="n">
        <v>324</v>
      </c>
      <c r="U156" t="inlineStr">
        <is>
          <t>1998-07-27</t>
        </is>
      </c>
      <c r="V156" t="inlineStr">
        <is>
          <t>1998-07-28</t>
        </is>
      </c>
      <c r="W156" t="inlineStr">
        <is>
          <t>1997-06-03</t>
        </is>
      </c>
      <c r="X156" t="inlineStr">
        <is>
          <t>1998-06-24</t>
        </is>
      </c>
      <c r="Y156" t="n">
        <v>259</v>
      </c>
      <c r="Z156" t="n">
        <v>221</v>
      </c>
      <c r="AA156" t="n">
        <v>223</v>
      </c>
      <c r="AB156" t="n">
        <v>2</v>
      </c>
      <c r="AC156" t="n">
        <v>2</v>
      </c>
      <c r="AD156" t="n">
        <v>10</v>
      </c>
      <c r="AE156" t="n">
        <v>10</v>
      </c>
      <c r="AF156" t="n">
        <v>2</v>
      </c>
      <c r="AG156" t="n">
        <v>2</v>
      </c>
      <c r="AH156" t="n">
        <v>2</v>
      </c>
      <c r="AI156" t="n">
        <v>2</v>
      </c>
      <c r="AJ156" t="n">
        <v>8</v>
      </c>
      <c r="AK156" t="n">
        <v>8</v>
      </c>
      <c r="AL156" t="n">
        <v>1</v>
      </c>
      <c r="AM156" t="n">
        <v>1</v>
      </c>
      <c r="AN156" t="n">
        <v>0</v>
      </c>
      <c r="AO156" t="n">
        <v>0</v>
      </c>
      <c r="AP156" t="inlineStr">
        <is>
          <t>No</t>
        </is>
      </c>
      <c r="AQ156" t="inlineStr">
        <is>
          <t>Yes</t>
        </is>
      </c>
      <c r="AR156">
        <f>HYPERLINK("http://catalog.hathitrust.org/Record/009932175","HathiTrust Record")</f>
        <v/>
      </c>
      <c r="AS156">
        <f>HYPERLINK("https://creighton-primo.hosted.exlibrisgroup.com/primo-explore/search?tab=default_tab&amp;search_scope=EVERYTHING&amp;vid=01CRU&amp;lang=en_US&amp;offset=0&amp;query=any,contains,991005356889702656","Catalog Record")</f>
        <v/>
      </c>
      <c r="AT156">
        <f>HYPERLINK("http://www.worldcat.org/oclc/802031","WorldCat Record")</f>
        <v/>
      </c>
      <c r="AU156" t="inlineStr">
        <is>
          <t>4924721893:ger</t>
        </is>
      </c>
      <c r="AV156" t="inlineStr">
        <is>
          <t>802031</t>
        </is>
      </c>
      <c r="AW156" t="inlineStr">
        <is>
          <t>991005356889702656</t>
        </is>
      </c>
      <c r="AX156" t="inlineStr">
        <is>
          <t>991005356889702656</t>
        </is>
      </c>
      <c r="AY156" t="inlineStr">
        <is>
          <t>2270552310002656</t>
        </is>
      </c>
      <c r="AZ156" t="inlineStr">
        <is>
          <t>BOOK</t>
        </is>
      </c>
      <c r="BC156" t="inlineStr">
        <is>
          <t>32285002790037</t>
        </is>
      </c>
      <c r="BD156" t="inlineStr">
        <is>
          <t>893527419</t>
        </is>
      </c>
    </row>
    <row r="157">
      <c r="A157" t="inlineStr">
        <is>
          <t>No</t>
        </is>
      </c>
      <c r="B157" t="inlineStr">
        <is>
          <t>QD151 .G52 NO. 25 SECT. 2</t>
        </is>
      </c>
      <c r="C157" t="inlineStr">
        <is>
          <t>0                      QD 0151000G  52                                                      NO. 25 SECT. 2</t>
        </is>
      </c>
      <c r="D157" t="inlineStr">
        <is>
          <t>Gmelins Handbuch der anorganischen chemie.</t>
        </is>
      </c>
      <c r="E157" t="inlineStr">
        <is>
          <t>NO. 25 SECT. 2*</t>
        </is>
      </c>
      <c r="F157" t="inlineStr">
        <is>
          <t>Yes</t>
        </is>
      </c>
      <c r="G157" t="inlineStr">
        <is>
          <t>1</t>
        </is>
      </c>
      <c r="H157" t="inlineStr">
        <is>
          <t>No</t>
        </is>
      </c>
      <c r="I157" t="inlineStr">
        <is>
          <t>No</t>
        </is>
      </c>
      <c r="J157" t="inlineStr">
        <is>
          <t>0</t>
        </is>
      </c>
      <c r="L157" t="inlineStr">
        <is>
          <t>Leipzig-Berlin, Verlag Chemie g.m.b.h., 1924-</t>
        </is>
      </c>
      <c r="M157" t="inlineStr">
        <is>
          <t>1924</t>
        </is>
      </c>
      <c r="N157" t="inlineStr">
        <is>
          <t>8. aufl. Hrsg. von der Deutschen chemischen gesellschaft, bearb. von R.J. Meyer, unter beratender mitwirkung von Franz Peters.</t>
        </is>
      </c>
      <c r="O157" t="inlineStr">
        <is>
          <t>ger</t>
        </is>
      </c>
      <c r="P157" t="inlineStr">
        <is>
          <t xml:space="preserve">xx </t>
        </is>
      </c>
      <c r="R157" t="inlineStr">
        <is>
          <t xml:space="preserve">QD </t>
        </is>
      </c>
      <c r="S157" t="n">
        <v>1</v>
      </c>
      <c r="T157" t="n">
        <v>324</v>
      </c>
      <c r="U157" t="inlineStr">
        <is>
          <t>1998-07-27</t>
        </is>
      </c>
      <c r="V157" t="inlineStr">
        <is>
          <t>1998-07-28</t>
        </is>
      </c>
      <c r="W157" t="inlineStr">
        <is>
          <t>1997-06-03</t>
        </is>
      </c>
      <c r="X157" t="inlineStr">
        <is>
          <t>1998-06-24</t>
        </is>
      </c>
      <c r="Y157" t="n">
        <v>259</v>
      </c>
      <c r="Z157" t="n">
        <v>221</v>
      </c>
      <c r="AA157" t="n">
        <v>223</v>
      </c>
      <c r="AB157" t="n">
        <v>2</v>
      </c>
      <c r="AC157" t="n">
        <v>2</v>
      </c>
      <c r="AD157" t="n">
        <v>10</v>
      </c>
      <c r="AE157" t="n">
        <v>10</v>
      </c>
      <c r="AF157" t="n">
        <v>2</v>
      </c>
      <c r="AG157" t="n">
        <v>2</v>
      </c>
      <c r="AH157" t="n">
        <v>2</v>
      </c>
      <c r="AI157" t="n">
        <v>2</v>
      </c>
      <c r="AJ157" t="n">
        <v>8</v>
      </c>
      <c r="AK157" t="n">
        <v>8</v>
      </c>
      <c r="AL157" t="n">
        <v>1</v>
      </c>
      <c r="AM157" t="n">
        <v>1</v>
      </c>
      <c r="AN157" t="n">
        <v>0</v>
      </c>
      <c r="AO157" t="n">
        <v>0</v>
      </c>
      <c r="AP157" t="inlineStr">
        <is>
          <t>No</t>
        </is>
      </c>
      <c r="AQ157" t="inlineStr">
        <is>
          <t>Yes</t>
        </is>
      </c>
      <c r="AR157">
        <f>HYPERLINK("http://catalog.hathitrust.org/Record/009932175","HathiTrust Record")</f>
        <v/>
      </c>
      <c r="AS157">
        <f>HYPERLINK("https://creighton-primo.hosted.exlibrisgroup.com/primo-explore/search?tab=default_tab&amp;search_scope=EVERYTHING&amp;vid=01CRU&amp;lang=en_US&amp;offset=0&amp;query=any,contains,991005356889702656","Catalog Record")</f>
        <v/>
      </c>
      <c r="AT157">
        <f>HYPERLINK("http://www.worldcat.org/oclc/802031","WorldCat Record")</f>
        <v/>
      </c>
      <c r="AU157" t="inlineStr">
        <is>
          <t>4924721893:ger</t>
        </is>
      </c>
      <c r="AV157" t="inlineStr">
        <is>
          <t>802031</t>
        </is>
      </c>
      <c r="AW157" t="inlineStr">
        <is>
          <t>991005356889702656</t>
        </is>
      </c>
      <c r="AX157" t="inlineStr">
        <is>
          <t>991005356889702656</t>
        </is>
      </c>
      <c r="AY157" t="inlineStr">
        <is>
          <t>2270552310002656</t>
        </is>
      </c>
      <c r="AZ157" t="inlineStr">
        <is>
          <t>BOOK</t>
        </is>
      </c>
      <c r="BC157" t="inlineStr">
        <is>
          <t>32285002790045</t>
        </is>
      </c>
      <c r="BD157" t="inlineStr">
        <is>
          <t>893520961</t>
        </is>
      </c>
    </row>
    <row r="158">
      <c r="A158" t="inlineStr">
        <is>
          <t>No</t>
        </is>
      </c>
      <c r="B158" t="inlineStr">
        <is>
          <t>QD151 .G52 NO. 26</t>
        </is>
      </c>
      <c r="C158" t="inlineStr">
        <is>
          <t>0                      QD 0151000G  52                                                      NO. 26</t>
        </is>
      </c>
      <c r="D158" t="inlineStr">
        <is>
          <t>Gmelins Handbuch der anorganischen chemie.</t>
        </is>
      </c>
      <c r="E158" t="inlineStr">
        <is>
          <t>NO. 26*</t>
        </is>
      </c>
      <c r="F158" t="inlineStr">
        <is>
          <t>Yes</t>
        </is>
      </c>
      <c r="G158" t="inlineStr">
        <is>
          <t>1</t>
        </is>
      </c>
      <c r="H158" t="inlineStr">
        <is>
          <t>No</t>
        </is>
      </c>
      <c r="I158" t="inlineStr">
        <is>
          <t>No</t>
        </is>
      </c>
      <c r="J158" t="inlineStr">
        <is>
          <t>0</t>
        </is>
      </c>
      <c r="L158" t="inlineStr">
        <is>
          <t>Leipzig-Berlin, Verlag Chemie g.m.b.h., 1924-</t>
        </is>
      </c>
      <c r="M158" t="inlineStr">
        <is>
          <t>1924</t>
        </is>
      </c>
      <c r="N158" t="inlineStr">
        <is>
          <t>8. aufl. Hrsg. von der Deutschen chemischen gesellschaft, bearb. von R.J. Meyer, unter beratender mitwirkung von Franz Peters.</t>
        </is>
      </c>
      <c r="O158" t="inlineStr">
        <is>
          <t>ger</t>
        </is>
      </c>
      <c r="P158" t="inlineStr">
        <is>
          <t xml:space="preserve">xx </t>
        </is>
      </c>
      <c r="R158" t="inlineStr">
        <is>
          <t xml:space="preserve">QD </t>
        </is>
      </c>
      <c r="S158" t="n">
        <v>1</v>
      </c>
      <c r="T158" t="n">
        <v>324</v>
      </c>
      <c r="U158" t="inlineStr">
        <is>
          <t>1998-07-27</t>
        </is>
      </c>
      <c r="V158" t="inlineStr">
        <is>
          <t>1998-07-28</t>
        </is>
      </c>
      <c r="W158" t="inlineStr">
        <is>
          <t>1997-06-03</t>
        </is>
      </c>
      <c r="X158" t="inlineStr">
        <is>
          <t>1998-06-24</t>
        </is>
      </c>
      <c r="Y158" t="n">
        <v>259</v>
      </c>
      <c r="Z158" t="n">
        <v>221</v>
      </c>
      <c r="AA158" t="n">
        <v>223</v>
      </c>
      <c r="AB158" t="n">
        <v>2</v>
      </c>
      <c r="AC158" t="n">
        <v>2</v>
      </c>
      <c r="AD158" t="n">
        <v>10</v>
      </c>
      <c r="AE158" t="n">
        <v>10</v>
      </c>
      <c r="AF158" t="n">
        <v>2</v>
      </c>
      <c r="AG158" t="n">
        <v>2</v>
      </c>
      <c r="AH158" t="n">
        <v>2</v>
      </c>
      <c r="AI158" t="n">
        <v>2</v>
      </c>
      <c r="AJ158" t="n">
        <v>8</v>
      </c>
      <c r="AK158" t="n">
        <v>8</v>
      </c>
      <c r="AL158" t="n">
        <v>1</v>
      </c>
      <c r="AM158" t="n">
        <v>1</v>
      </c>
      <c r="AN158" t="n">
        <v>0</v>
      </c>
      <c r="AO158" t="n">
        <v>0</v>
      </c>
      <c r="AP158" t="inlineStr">
        <is>
          <t>No</t>
        </is>
      </c>
      <c r="AQ158" t="inlineStr">
        <is>
          <t>Yes</t>
        </is>
      </c>
      <c r="AR158">
        <f>HYPERLINK("http://catalog.hathitrust.org/Record/009932175","HathiTrust Record")</f>
        <v/>
      </c>
      <c r="AS158">
        <f>HYPERLINK("https://creighton-primo.hosted.exlibrisgroup.com/primo-explore/search?tab=default_tab&amp;search_scope=EVERYTHING&amp;vid=01CRU&amp;lang=en_US&amp;offset=0&amp;query=any,contains,991005356889702656","Catalog Record")</f>
        <v/>
      </c>
      <c r="AT158">
        <f>HYPERLINK("http://www.worldcat.org/oclc/802031","WorldCat Record")</f>
        <v/>
      </c>
      <c r="AU158" t="inlineStr">
        <is>
          <t>4924721893:ger</t>
        </is>
      </c>
      <c r="AV158" t="inlineStr">
        <is>
          <t>802031</t>
        </is>
      </c>
      <c r="AW158" t="inlineStr">
        <is>
          <t>991005356889702656</t>
        </is>
      </c>
      <c r="AX158" t="inlineStr">
        <is>
          <t>991005356889702656</t>
        </is>
      </c>
      <c r="AY158" t="inlineStr">
        <is>
          <t>2270552310002656</t>
        </is>
      </c>
      <c r="AZ158" t="inlineStr">
        <is>
          <t>BOOK</t>
        </is>
      </c>
      <c r="BC158" t="inlineStr">
        <is>
          <t>32285002790052</t>
        </is>
      </c>
      <c r="BD158" t="inlineStr">
        <is>
          <t>893520927</t>
        </is>
      </c>
    </row>
    <row r="159">
      <c r="A159" t="inlineStr">
        <is>
          <t>No</t>
        </is>
      </c>
      <c r="B159" t="inlineStr">
        <is>
          <t>QD151 .G52 NO. 27 PT. A1</t>
        </is>
      </c>
      <c r="C159" t="inlineStr">
        <is>
          <t>0                      QD 0151000G  52                                                      NO. 27 PT. A1</t>
        </is>
      </c>
      <c r="D159" t="inlineStr">
        <is>
          <t>Gmelins Handbuch der anorganischen chemie.</t>
        </is>
      </c>
      <c r="E159" t="inlineStr">
        <is>
          <t>NO. 27 PT. A1*</t>
        </is>
      </c>
      <c r="F159" t="inlineStr">
        <is>
          <t>Yes</t>
        </is>
      </c>
      <c r="G159" t="inlineStr">
        <is>
          <t>1</t>
        </is>
      </c>
      <c r="H159" t="inlineStr">
        <is>
          <t>No</t>
        </is>
      </c>
      <c r="I159" t="inlineStr">
        <is>
          <t>No</t>
        </is>
      </c>
      <c r="J159" t="inlineStr">
        <is>
          <t>0</t>
        </is>
      </c>
      <c r="L159" t="inlineStr">
        <is>
          <t>Leipzig-Berlin, Verlag Chemie g.m.b.h., 1924-</t>
        </is>
      </c>
      <c r="M159" t="inlineStr">
        <is>
          <t>1924</t>
        </is>
      </c>
      <c r="N159" t="inlineStr">
        <is>
          <t>8. aufl. Hrsg. von der Deutschen chemischen gesellschaft, bearb. von R.J. Meyer, unter beratender mitwirkung von Franz Peters.</t>
        </is>
      </c>
      <c r="O159" t="inlineStr">
        <is>
          <t>ger</t>
        </is>
      </c>
      <c r="P159" t="inlineStr">
        <is>
          <t xml:space="preserve">xx </t>
        </is>
      </c>
      <c r="R159" t="inlineStr">
        <is>
          <t xml:space="preserve">QD </t>
        </is>
      </c>
      <c r="S159" t="n">
        <v>1</v>
      </c>
      <c r="T159" t="n">
        <v>324</v>
      </c>
      <c r="U159" t="inlineStr">
        <is>
          <t>1998-07-27</t>
        </is>
      </c>
      <c r="V159" t="inlineStr">
        <is>
          <t>1998-07-28</t>
        </is>
      </c>
      <c r="W159" t="inlineStr">
        <is>
          <t>1997-06-03</t>
        </is>
      </c>
      <c r="X159" t="inlineStr">
        <is>
          <t>1998-06-24</t>
        </is>
      </c>
      <c r="Y159" t="n">
        <v>259</v>
      </c>
      <c r="Z159" t="n">
        <v>221</v>
      </c>
      <c r="AA159" t="n">
        <v>223</v>
      </c>
      <c r="AB159" t="n">
        <v>2</v>
      </c>
      <c r="AC159" t="n">
        <v>2</v>
      </c>
      <c r="AD159" t="n">
        <v>10</v>
      </c>
      <c r="AE159" t="n">
        <v>10</v>
      </c>
      <c r="AF159" t="n">
        <v>2</v>
      </c>
      <c r="AG159" t="n">
        <v>2</v>
      </c>
      <c r="AH159" t="n">
        <v>2</v>
      </c>
      <c r="AI159" t="n">
        <v>2</v>
      </c>
      <c r="AJ159" t="n">
        <v>8</v>
      </c>
      <c r="AK159" t="n">
        <v>8</v>
      </c>
      <c r="AL159" t="n">
        <v>1</v>
      </c>
      <c r="AM159" t="n">
        <v>1</v>
      </c>
      <c r="AN159" t="n">
        <v>0</v>
      </c>
      <c r="AO159" t="n">
        <v>0</v>
      </c>
      <c r="AP159" t="inlineStr">
        <is>
          <t>No</t>
        </is>
      </c>
      <c r="AQ159" t="inlineStr">
        <is>
          <t>Yes</t>
        </is>
      </c>
      <c r="AR159">
        <f>HYPERLINK("http://catalog.hathitrust.org/Record/009932175","HathiTrust Record")</f>
        <v/>
      </c>
      <c r="AS159">
        <f>HYPERLINK("https://creighton-primo.hosted.exlibrisgroup.com/primo-explore/search?tab=default_tab&amp;search_scope=EVERYTHING&amp;vid=01CRU&amp;lang=en_US&amp;offset=0&amp;query=any,contains,991005356889702656","Catalog Record")</f>
        <v/>
      </c>
      <c r="AT159">
        <f>HYPERLINK("http://www.worldcat.org/oclc/802031","WorldCat Record")</f>
        <v/>
      </c>
      <c r="AU159" t="inlineStr">
        <is>
          <t>4924721893:ger</t>
        </is>
      </c>
      <c r="AV159" t="inlineStr">
        <is>
          <t>802031</t>
        </is>
      </c>
      <c r="AW159" t="inlineStr">
        <is>
          <t>991005356889702656</t>
        </is>
      </c>
      <c r="AX159" t="inlineStr">
        <is>
          <t>991005356889702656</t>
        </is>
      </c>
      <c r="AY159" t="inlineStr">
        <is>
          <t>2270552310002656</t>
        </is>
      </c>
      <c r="AZ159" t="inlineStr">
        <is>
          <t>BOOK</t>
        </is>
      </c>
      <c r="BC159" t="inlineStr">
        <is>
          <t>32285002790060</t>
        </is>
      </c>
      <c r="BD159" t="inlineStr">
        <is>
          <t>893527418</t>
        </is>
      </c>
    </row>
    <row r="160">
      <c r="A160" t="inlineStr">
        <is>
          <t>No</t>
        </is>
      </c>
      <c r="B160" t="inlineStr">
        <is>
          <t>QD151 .G52 NO. 27 PT. A2</t>
        </is>
      </c>
      <c r="C160" t="inlineStr">
        <is>
          <t>0                      QD 0151000G  52                                                      NO. 27 PT. A2</t>
        </is>
      </c>
      <c r="D160" t="inlineStr">
        <is>
          <t>Gmelins Handbuch der anorganischen chemie.</t>
        </is>
      </c>
      <c r="E160" t="inlineStr">
        <is>
          <t>NO. 27 PT. A2*</t>
        </is>
      </c>
      <c r="F160" t="inlineStr">
        <is>
          <t>Yes</t>
        </is>
      </c>
      <c r="G160" t="inlineStr">
        <is>
          <t>1</t>
        </is>
      </c>
      <c r="H160" t="inlineStr">
        <is>
          <t>No</t>
        </is>
      </c>
      <c r="I160" t="inlineStr">
        <is>
          <t>No</t>
        </is>
      </c>
      <c r="J160" t="inlineStr">
        <is>
          <t>0</t>
        </is>
      </c>
      <c r="L160" t="inlineStr">
        <is>
          <t>Leipzig-Berlin, Verlag Chemie g.m.b.h., 1924-</t>
        </is>
      </c>
      <c r="M160" t="inlineStr">
        <is>
          <t>1924</t>
        </is>
      </c>
      <c r="N160" t="inlineStr">
        <is>
          <t>8. aufl. Hrsg. von der Deutschen chemischen gesellschaft, bearb. von R.J. Meyer, unter beratender mitwirkung von Franz Peters.</t>
        </is>
      </c>
      <c r="O160" t="inlineStr">
        <is>
          <t>ger</t>
        </is>
      </c>
      <c r="P160" t="inlineStr">
        <is>
          <t xml:space="preserve">xx </t>
        </is>
      </c>
      <c r="R160" t="inlineStr">
        <is>
          <t xml:space="preserve">QD </t>
        </is>
      </c>
      <c r="S160" t="n">
        <v>1</v>
      </c>
      <c r="T160" t="n">
        <v>324</v>
      </c>
      <c r="U160" t="inlineStr">
        <is>
          <t>1998-07-27</t>
        </is>
      </c>
      <c r="V160" t="inlineStr">
        <is>
          <t>1998-07-28</t>
        </is>
      </c>
      <c r="W160" t="inlineStr">
        <is>
          <t>1997-06-03</t>
        </is>
      </c>
      <c r="X160" t="inlineStr">
        <is>
          <t>1998-06-24</t>
        </is>
      </c>
      <c r="Y160" t="n">
        <v>259</v>
      </c>
      <c r="Z160" t="n">
        <v>221</v>
      </c>
      <c r="AA160" t="n">
        <v>223</v>
      </c>
      <c r="AB160" t="n">
        <v>2</v>
      </c>
      <c r="AC160" t="n">
        <v>2</v>
      </c>
      <c r="AD160" t="n">
        <v>10</v>
      </c>
      <c r="AE160" t="n">
        <v>10</v>
      </c>
      <c r="AF160" t="n">
        <v>2</v>
      </c>
      <c r="AG160" t="n">
        <v>2</v>
      </c>
      <c r="AH160" t="n">
        <v>2</v>
      </c>
      <c r="AI160" t="n">
        <v>2</v>
      </c>
      <c r="AJ160" t="n">
        <v>8</v>
      </c>
      <c r="AK160" t="n">
        <v>8</v>
      </c>
      <c r="AL160" t="n">
        <v>1</v>
      </c>
      <c r="AM160" t="n">
        <v>1</v>
      </c>
      <c r="AN160" t="n">
        <v>0</v>
      </c>
      <c r="AO160" t="n">
        <v>0</v>
      </c>
      <c r="AP160" t="inlineStr">
        <is>
          <t>No</t>
        </is>
      </c>
      <c r="AQ160" t="inlineStr">
        <is>
          <t>Yes</t>
        </is>
      </c>
      <c r="AR160">
        <f>HYPERLINK("http://catalog.hathitrust.org/Record/009932175","HathiTrust Record")</f>
        <v/>
      </c>
      <c r="AS160">
        <f>HYPERLINK("https://creighton-primo.hosted.exlibrisgroup.com/primo-explore/search?tab=default_tab&amp;search_scope=EVERYTHING&amp;vid=01CRU&amp;lang=en_US&amp;offset=0&amp;query=any,contains,991005356889702656","Catalog Record")</f>
        <v/>
      </c>
      <c r="AT160">
        <f>HYPERLINK("http://www.worldcat.org/oclc/802031","WorldCat Record")</f>
        <v/>
      </c>
      <c r="AU160" t="inlineStr">
        <is>
          <t>4924721893:ger</t>
        </is>
      </c>
      <c r="AV160" t="inlineStr">
        <is>
          <t>802031</t>
        </is>
      </c>
      <c r="AW160" t="inlineStr">
        <is>
          <t>991005356889702656</t>
        </is>
      </c>
      <c r="AX160" t="inlineStr">
        <is>
          <t>991005356889702656</t>
        </is>
      </c>
      <c r="AY160" t="inlineStr">
        <is>
          <t>2270552310002656</t>
        </is>
      </c>
      <c r="AZ160" t="inlineStr">
        <is>
          <t>BOOK</t>
        </is>
      </c>
      <c r="BC160" t="inlineStr">
        <is>
          <t>32285002790078</t>
        </is>
      </c>
      <c r="BD160" t="inlineStr">
        <is>
          <t>893520926</t>
        </is>
      </c>
    </row>
    <row r="161">
      <c r="A161" t="inlineStr">
        <is>
          <t>No</t>
        </is>
      </c>
      <c r="B161" t="inlineStr">
        <is>
          <t>QD151 .G52 NO. 27 PT. A3</t>
        </is>
      </c>
      <c r="C161" t="inlineStr">
        <is>
          <t>0                      QD 0151000G  52                                                      NO. 27 PT. A3</t>
        </is>
      </c>
      <c r="D161" t="inlineStr">
        <is>
          <t>Gmelins Handbuch der anorganischen chemie.</t>
        </is>
      </c>
      <c r="E161" t="inlineStr">
        <is>
          <t>NO. 27 PT. A3*</t>
        </is>
      </c>
      <c r="F161" t="inlineStr">
        <is>
          <t>Yes</t>
        </is>
      </c>
      <c r="G161" t="inlineStr">
        <is>
          <t>1</t>
        </is>
      </c>
      <c r="H161" t="inlineStr">
        <is>
          <t>No</t>
        </is>
      </c>
      <c r="I161" t="inlineStr">
        <is>
          <t>No</t>
        </is>
      </c>
      <c r="J161" t="inlineStr">
        <is>
          <t>0</t>
        </is>
      </c>
      <c r="L161" t="inlineStr">
        <is>
          <t>Leipzig-Berlin, Verlag Chemie g.m.b.h., 1924-</t>
        </is>
      </c>
      <c r="M161" t="inlineStr">
        <is>
          <t>1924</t>
        </is>
      </c>
      <c r="N161" t="inlineStr">
        <is>
          <t>8. aufl. Hrsg. von der Deutschen chemischen gesellschaft, bearb. von R.J. Meyer, unter beratender mitwirkung von Franz Peters.</t>
        </is>
      </c>
      <c r="O161" t="inlineStr">
        <is>
          <t>ger</t>
        </is>
      </c>
      <c r="P161" t="inlineStr">
        <is>
          <t xml:space="preserve">xx </t>
        </is>
      </c>
      <c r="R161" t="inlineStr">
        <is>
          <t xml:space="preserve">QD </t>
        </is>
      </c>
      <c r="S161" t="n">
        <v>1</v>
      </c>
      <c r="T161" t="n">
        <v>324</v>
      </c>
      <c r="U161" t="inlineStr">
        <is>
          <t>1998-07-27</t>
        </is>
      </c>
      <c r="V161" t="inlineStr">
        <is>
          <t>1998-07-28</t>
        </is>
      </c>
      <c r="W161" t="inlineStr">
        <is>
          <t>1997-06-03</t>
        </is>
      </c>
      <c r="X161" t="inlineStr">
        <is>
          <t>1998-06-24</t>
        </is>
      </c>
      <c r="Y161" t="n">
        <v>259</v>
      </c>
      <c r="Z161" t="n">
        <v>221</v>
      </c>
      <c r="AA161" t="n">
        <v>223</v>
      </c>
      <c r="AB161" t="n">
        <v>2</v>
      </c>
      <c r="AC161" t="n">
        <v>2</v>
      </c>
      <c r="AD161" t="n">
        <v>10</v>
      </c>
      <c r="AE161" t="n">
        <v>10</v>
      </c>
      <c r="AF161" t="n">
        <v>2</v>
      </c>
      <c r="AG161" t="n">
        <v>2</v>
      </c>
      <c r="AH161" t="n">
        <v>2</v>
      </c>
      <c r="AI161" t="n">
        <v>2</v>
      </c>
      <c r="AJ161" t="n">
        <v>8</v>
      </c>
      <c r="AK161" t="n">
        <v>8</v>
      </c>
      <c r="AL161" t="n">
        <v>1</v>
      </c>
      <c r="AM161" t="n">
        <v>1</v>
      </c>
      <c r="AN161" t="n">
        <v>0</v>
      </c>
      <c r="AO161" t="n">
        <v>0</v>
      </c>
      <c r="AP161" t="inlineStr">
        <is>
          <t>No</t>
        </is>
      </c>
      <c r="AQ161" t="inlineStr">
        <is>
          <t>Yes</t>
        </is>
      </c>
      <c r="AR161">
        <f>HYPERLINK("http://catalog.hathitrust.org/Record/009932175","HathiTrust Record")</f>
        <v/>
      </c>
      <c r="AS161">
        <f>HYPERLINK("https://creighton-primo.hosted.exlibrisgroup.com/primo-explore/search?tab=default_tab&amp;search_scope=EVERYTHING&amp;vid=01CRU&amp;lang=en_US&amp;offset=0&amp;query=any,contains,991005356889702656","Catalog Record")</f>
        <v/>
      </c>
      <c r="AT161">
        <f>HYPERLINK("http://www.worldcat.org/oclc/802031","WorldCat Record")</f>
        <v/>
      </c>
      <c r="AU161" t="inlineStr">
        <is>
          <t>4924721893:ger</t>
        </is>
      </c>
      <c r="AV161" t="inlineStr">
        <is>
          <t>802031</t>
        </is>
      </c>
      <c r="AW161" t="inlineStr">
        <is>
          <t>991005356889702656</t>
        </is>
      </c>
      <c r="AX161" t="inlineStr">
        <is>
          <t>991005356889702656</t>
        </is>
      </c>
      <c r="AY161" t="inlineStr">
        <is>
          <t>2270552310002656</t>
        </is>
      </c>
      <c r="AZ161" t="inlineStr">
        <is>
          <t>BOOK</t>
        </is>
      </c>
      <c r="BC161" t="inlineStr">
        <is>
          <t>32285002790086</t>
        </is>
      </c>
      <c r="BD161" t="inlineStr">
        <is>
          <t>893527417</t>
        </is>
      </c>
    </row>
    <row r="162">
      <c r="A162" t="inlineStr">
        <is>
          <t>No</t>
        </is>
      </c>
      <c r="B162" t="inlineStr">
        <is>
          <t>QD151 .G52 NO. 27 PT. A4</t>
        </is>
      </c>
      <c r="C162" t="inlineStr">
        <is>
          <t>0                      QD 0151000G  52                                                      NO. 27 PT. A4</t>
        </is>
      </c>
      <c r="D162" t="inlineStr">
        <is>
          <t>Gmelins Handbuch der anorganischen chemie.</t>
        </is>
      </c>
      <c r="E162" t="inlineStr">
        <is>
          <t>NO. 27 PT. A4*</t>
        </is>
      </c>
      <c r="F162" t="inlineStr">
        <is>
          <t>Yes</t>
        </is>
      </c>
      <c r="G162" t="inlineStr">
        <is>
          <t>1</t>
        </is>
      </c>
      <c r="H162" t="inlineStr">
        <is>
          <t>No</t>
        </is>
      </c>
      <c r="I162" t="inlineStr">
        <is>
          <t>No</t>
        </is>
      </c>
      <c r="J162" t="inlineStr">
        <is>
          <t>0</t>
        </is>
      </c>
      <c r="L162" t="inlineStr">
        <is>
          <t>Leipzig-Berlin, Verlag Chemie g.m.b.h., 1924-</t>
        </is>
      </c>
      <c r="M162" t="inlineStr">
        <is>
          <t>1924</t>
        </is>
      </c>
      <c r="N162" t="inlineStr">
        <is>
          <t>8. aufl. Hrsg. von der Deutschen chemischen gesellschaft, bearb. von R.J. Meyer, unter beratender mitwirkung von Franz Peters.</t>
        </is>
      </c>
      <c r="O162" t="inlineStr">
        <is>
          <t>ger</t>
        </is>
      </c>
      <c r="P162" t="inlineStr">
        <is>
          <t xml:space="preserve">xx </t>
        </is>
      </c>
      <c r="R162" t="inlineStr">
        <is>
          <t xml:space="preserve">QD </t>
        </is>
      </c>
      <c r="S162" t="n">
        <v>1</v>
      </c>
      <c r="T162" t="n">
        <v>324</v>
      </c>
      <c r="U162" t="inlineStr">
        <is>
          <t>1998-07-27</t>
        </is>
      </c>
      <c r="V162" t="inlineStr">
        <is>
          <t>1998-07-28</t>
        </is>
      </c>
      <c r="W162" t="inlineStr">
        <is>
          <t>1997-06-03</t>
        </is>
      </c>
      <c r="X162" t="inlineStr">
        <is>
          <t>1998-06-24</t>
        </is>
      </c>
      <c r="Y162" t="n">
        <v>259</v>
      </c>
      <c r="Z162" t="n">
        <v>221</v>
      </c>
      <c r="AA162" t="n">
        <v>223</v>
      </c>
      <c r="AB162" t="n">
        <v>2</v>
      </c>
      <c r="AC162" t="n">
        <v>2</v>
      </c>
      <c r="AD162" t="n">
        <v>10</v>
      </c>
      <c r="AE162" t="n">
        <v>10</v>
      </c>
      <c r="AF162" t="n">
        <v>2</v>
      </c>
      <c r="AG162" t="n">
        <v>2</v>
      </c>
      <c r="AH162" t="n">
        <v>2</v>
      </c>
      <c r="AI162" t="n">
        <v>2</v>
      </c>
      <c r="AJ162" t="n">
        <v>8</v>
      </c>
      <c r="AK162" t="n">
        <v>8</v>
      </c>
      <c r="AL162" t="n">
        <v>1</v>
      </c>
      <c r="AM162" t="n">
        <v>1</v>
      </c>
      <c r="AN162" t="n">
        <v>0</v>
      </c>
      <c r="AO162" t="n">
        <v>0</v>
      </c>
      <c r="AP162" t="inlineStr">
        <is>
          <t>No</t>
        </is>
      </c>
      <c r="AQ162" t="inlineStr">
        <is>
          <t>Yes</t>
        </is>
      </c>
      <c r="AR162">
        <f>HYPERLINK("http://catalog.hathitrust.org/Record/009932175","HathiTrust Record")</f>
        <v/>
      </c>
      <c r="AS162">
        <f>HYPERLINK("https://creighton-primo.hosted.exlibrisgroup.com/primo-explore/search?tab=default_tab&amp;search_scope=EVERYTHING&amp;vid=01CRU&amp;lang=en_US&amp;offset=0&amp;query=any,contains,991005356889702656","Catalog Record")</f>
        <v/>
      </c>
      <c r="AT162">
        <f>HYPERLINK("http://www.worldcat.org/oclc/802031","WorldCat Record")</f>
        <v/>
      </c>
      <c r="AU162" t="inlineStr">
        <is>
          <t>4924721893:ger</t>
        </is>
      </c>
      <c r="AV162" t="inlineStr">
        <is>
          <t>802031</t>
        </is>
      </c>
      <c r="AW162" t="inlineStr">
        <is>
          <t>991005356889702656</t>
        </is>
      </c>
      <c r="AX162" t="inlineStr">
        <is>
          <t>991005356889702656</t>
        </is>
      </c>
      <c r="AY162" t="inlineStr">
        <is>
          <t>2270552310002656</t>
        </is>
      </c>
      <c r="AZ162" t="inlineStr">
        <is>
          <t>BOOK</t>
        </is>
      </c>
      <c r="BC162" t="inlineStr">
        <is>
          <t>32285002790094</t>
        </is>
      </c>
      <c r="BD162" t="inlineStr">
        <is>
          <t>893520960</t>
        </is>
      </c>
    </row>
    <row r="163">
      <c r="A163" t="inlineStr">
        <is>
          <t>No</t>
        </is>
      </c>
      <c r="B163" t="inlineStr">
        <is>
          <t>QD151 .G52 NO. 27 PT. B1</t>
        </is>
      </c>
      <c r="C163" t="inlineStr">
        <is>
          <t>0                      QD 0151000G  52                                                      NO. 27 PT. B1</t>
        </is>
      </c>
      <c r="D163" t="inlineStr">
        <is>
          <t>Gmelins Handbuch der anorganischen chemie.</t>
        </is>
      </c>
      <c r="E163" t="inlineStr">
        <is>
          <t>NO. 27 PT. B1*</t>
        </is>
      </c>
      <c r="F163" t="inlineStr">
        <is>
          <t>Yes</t>
        </is>
      </c>
      <c r="G163" t="inlineStr">
        <is>
          <t>1</t>
        </is>
      </c>
      <c r="H163" t="inlineStr">
        <is>
          <t>No</t>
        </is>
      </c>
      <c r="I163" t="inlineStr">
        <is>
          <t>No</t>
        </is>
      </c>
      <c r="J163" t="inlineStr">
        <is>
          <t>0</t>
        </is>
      </c>
      <c r="L163" t="inlineStr">
        <is>
          <t>Leipzig-Berlin, Verlag Chemie g.m.b.h., 1924-</t>
        </is>
      </c>
      <c r="M163" t="inlineStr">
        <is>
          <t>1924</t>
        </is>
      </c>
      <c r="N163" t="inlineStr">
        <is>
          <t>8. aufl. Hrsg. von der Deutschen chemischen gesellschaft, bearb. von R.J. Meyer, unter beratender mitwirkung von Franz Peters.</t>
        </is>
      </c>
      <c r="O163" t="inlineStr">
        <is>
          <t>ger</t>
        </is>
      </c>
      <c r="P163" t="inlineStr">
        <is>
          <t xml:space="preserve">xx </t>
        </is>
      </c>
      <c r="R163" t="inlineStr">
        <is>
          <t xml:space="preserve">QD </t>
        </is>
      </c>
      <c r="S163" t="n">
        <v>1</v>
      </c>
      <c r="T163" t="n">
        <v>324</v>
      </c>
      <c r="U163" t="inlineStr">
        <is>
          <t>1998-07-27</t>
        </is>
      </c>
      <c r="V163" t="inlineStr">
        <is>
          <t>1998-07-28</t>
        </is>
      </c>
      <c r="W163" t="inlineStr">
        <is>
          <t>1997-06-03</t>
        </is>
      </c>
      <c r="X163" t="inlineStr">
        <is>
          <t>1998-06-24</t>
        </is>
      </c>
      <c r="Y163" t="n">
        <v>259</v>
      </c>
      <c r="Z163" t="n">
        <v>221</v>
      </c>
      <c r="AA163" t="n">
        <v>223</v>
      </c>
      <c r="AB163" t="n">
        <v>2</v>
      </c>
      <c r="AC163" t="n">
        <v>2</v>
      </c>
      <c r="AD163" t="n">
        <v>10</v>
      </c>
      <c r="AE163" t="n">
        <v>10</v>
      </c>
      <c r="AF163" t="n">
        <v>2</v>
      </c>
      <c r="AG163" t="n">
        <v>2</v>
      </c>
      <c r="AH163" t="n">
        <v>2</v>
      </c>
      <c r="AI163" t="n">
        <v>2</v>
      </c>
      <c r="AJ163" t="n">
        <v>8</v>
      </c>
      <c r="AK163" t="n">
        <v>8</v>
      </c>
      <c r="AL163" t="n">
        <v>1</v>
      </c>
      <c r="AM163" t="n">
        <v>1</v>
      </c>
      <c r="AN163" t="n">
        <v>0</v>
      </c>
      <c r="AO163" t="n">
        <v>0</v>
      </c>
      <c r="AP163" t="inlineStr">
        <is>
          <t>No</t>
        </is>
      </c>
      <c r="AQ163" t="inlineStr">
        <is>
          <t>Yes</t>
        </is>
      </c>
      <c r="AR163">
        <f>HYPERLINK("http://catalog.hathitrust.org/Record/009932175","HathiTrust Record")</f>
        <v/>
      </c>
      <c r="AS163">
        <f>HYPERLINK("https://creighton-primo.hosted.exlibrisgroup.com/primo-explore/search?tab=default_tab&amp;search_scope=EVERYTHING&amp;vid=01CRU&amp;lang=en_US&amp;offset=0&amp;query=any,contains,991005356889702656","Catalog Record")</f>
        <v/>
      </c>
      <c r="AT163">
        <f>HYPERLINK("http://www.worldcat.org/oclc/802031","WorldCat Record")</f>
        <v/>
      </c>
      <c r="AU163" t="inlineStr">
        <is>
          <t>4924721893:ger</t>
        </is>
      </c>
      <c r="AV163" t="inlineStr">
        <is>
          <t>802031</t>
        </is>
      </c>
      <c r="AW163" t="inlineStr">
        <is>
          <t>991005356889702656</t>
        </is>
      </c>
      <c r="AX163" t="inlineStr">
        <is>
          <t>991005356889702656</t>
        </is>
      </c>
      <c r="AY163" t="inlineStr">
        <is>
          <t>2270552310002656</t>
        </is>
      </c>
      <c r="AZ163" t="inlineStr">
        <is>
          <t>BOOK</t>
        </is>
      </c>
      <c r="BC163" t="inlineStr">
        <is>
          <t>32285002790102</t>
        </is>
      </c>
      <c r="BD163" t="inlineStr">
        <is>
          <t>893520925</t>
        </is>
      </c>
    </row>
    <row r="164">
      <c r="A164" t="inlineStr">
        <is>
          <t>No</t>
        </is>
      </c>
      <c r="B164" t="inlineStr">
        <is>
          <t>QD151 .G52 NO. 27 PT. B2</t>
        </is>
      </c>
      <c r="C164" t="inlineStr">
        <is>
          <t>0                      QD 0151000G  52                                                      NO. 27 PT. B2</t>
        </is>
      </c>
      <c r="D164" t="inlineStr">
        <is>
          <t>Gmelins Handbuch der anorganischen chemie.</t>
        </is>
      </c>
      <c r="E164" t="inlineStr">
        <is>
          <t>NO. 27 PT. B2*</t>
        </is>
      </c>
      <c r="F164" t="inlineStr">
        <is>
          <t>Yes</t>
        </is>
      </c>
      <c r="G164" t="inlineStr">
        <is>
          <t>1</t>
        </is>
      </c>
      <c r="H164" t="inlineStr">
        <is>
          <t>No</t>
        </is>
      </c>
      <c r="I164" t="inlineStr">
        <is>
          <t>No</t>
        </is>
      </c>
      <c r="J164" t="inlineStr">
        <is>
          <t>0</t>
        </is>
      </c>
      <c r="L164" t="inlineStr">
        <is>
          <t>Leipzig-Berlin, Verlag Chemie g.m.b.h., 1924-</t>
        </is>
      </c>
      <c r="M164" t="inlineStr">
        <is>
          <t>1924</t>
        </is>
      </c>
      <c r="N164" t="inlineStr">
        <is>
          <t>8. aufl. Hrsg. von der Deutschen chemischen gesellschaft, bearb. von R.J. Meyer, unter beratender mitwirkung von Franz Peters.</t>
        </is>
      </c>
      <c r="O164" t="inlineStr">
        <is>
          <t>ger</t>
        </is>
      </c>
      <c r="P164" t="inlineStr">
        <is>
          <t xml:space="preserve">xx </t>
        </is>
      </c>
      <c r="R164" t="inlineStr">
        <is>
          <t xml:space="preserve">QD </t>
        </is>
      </c>
      <c r="S164" t="n">
        <v>1</v>
      </c>
      <c r="T164" t="n">
        <v>324</v>
      </c>
      <c r="U164" t="inlineStr">
        <is>
          <t>1998-07-27</t>
        </is>
      </c>
      <c r="V164" t="inlineStr">
        <is>
          <t>1998-07-28</t>
        </is>
      </c>
      <c r="W164" t="inlineStr">
        <is>
          <t>1997-06-03</t>
        </is>
      </c>
      <c r="X164" t="inlineStr">
        <is>
          <t>1998-06-24</t>
        </is>
      </c>
      <c r="Y164" t="n">
        <v>259</v>
      </c>
      <c r="Z164" t="n">
        <v>221</v>
      </c>
      <c r="AA164" t="n">
        <v>223</v>
      </c>
      <c r="AB164" t="n">
        <v>2</v>
      </c>
      <c r="AC164" t="n">
        <v>2</v>
      </c>
      <c r="AD164" t="n">
        <v>10</v>
      </c>
      <c r="AE164" t="n">
        <v>10</v>
      </c>
      <c r="AF164" t="n">
        <v>2</v>
      </c>
      <c r="AG164" t="n">
        <v>2</v>
      </c>
      <c r="AH164" t="n">
        <v>2</v>
      </c>
      <c r="AI164" t="n">
        <v>2</v>
      </c>
      <c r="AJ164" t="n">
        <v>8</v>
      </c>
      <c r="AK164" t="n">
        <v>8</v>
      </c>
      <c r="AL164" t="n">
        <v>1</v>
      </c>
      <c r="AM164" t="n">
        <v>1</v>
      </c>
      <c r="AN164" t="n">
        <v>0</v>
      </c>
      <c r="AO164" t="n">
        <v>0</v>
      </c>
      <c r="AP164" t="inlineStr">
        <is>
          <t>No</t>
        </is>
      </c>
      <c r="AQ164" t="inlineStr">
        <is>
          <t>Yes</t>
        </is>
      </c>
      <c r="AR164">
        <f>HYPERLINK("http://catalog.hathitrust.org/Record/009932175","HathiTrust Record")</f>
        <v/>
      </c>
      <c r="AS164">
        <f>HYPERLINK("https://creighton-primo.hosted.exlibrisgroup.com/primo-explore/search?tab=default_tab&amp;search_scope=EVERYTHING&amp;vid=01CRU&amp;lang=en_US&amp;offset=0&amp;query=any,contains,991005356889702656","Catalog Record")</f>
        <v/>
      </c>
      <c r="AT164">
        <f>HYPERLINK("http://www.worldcat.org/oclc/802031","WorldCat Record")</f>
        <v/>
      </c>
      <c r="AU164" t="inlineStr">
        <is>
          <t>4924721893:ger</t>
        </is>
      </c>
      <c r="AV164" t="inlineStr">
        <is>
          <t>802031</t>
        </is>
      </c>
      <c r="AW164" t="inlineStr">
        <is>
          <t>991005356889702656</t>
        </is>
      </c>
      <c r="AX164" t="inlineStr">
        <is>
          <t>991005356889702656</t>
        </is>
      </c>
      <c r="AY164" t="inlineStr">
        <is>
          <t>2270552310002656</t>
        </is>
      </c>
      <c r="AZ164" t="inlineStr">
        <is>
          <t>BOOK</t>
        </is>
      </c>
      <c r="BC164" t="inlineStr">
        <is>
          <t>32285002790110</t>
        </is>
      </c>
      <c r="BD164" t="inlineStr">
        <is>
          <t>893501774</t>
        </is>
      </c>
    </row>
    <row r="165">
      <c r="A165" t="inlineStr">
        <is>
          <t>No</t>
        </is>
      </c>
      <c r="B165" t="inlineStr">
        <is>
          <t>QD151 .G52 NO. 27 PT. B3</t>
        </is>
      </c>
      <c r="C165" t="inlineStr">
        <is>
          <t>0                      QD 0151000G  52                                                      NO. 27 PT. B3</t>
        </is>
      </c>
      <c r="D165" t="inlineStr">
        <is>
          <t>Gmelins Handbuch der anorganischen chemie.</t>
        </is>
      </c>
      <c r="E165" t="inlineStr">
        <is>
          <t>NO. 27 PT. B3*</t>
        </is>
      </c>
      <c r="F165" t="inlineStr">
        <is>
          <t>Yes</t>
        </is>
      </c>
      <c r="G165" t="inlineStr">
        <is>
          <t>1</t>
        </is>
      </c>
      <c r="H165" t="inlineStr">
        <is>
          <t>No</t>
        </is>
      </c>
      <c r="I165" t="inlineStr">
        <is>
          <t>No</t>
        </is>
      </c>
      <c r="J165" t="inlineStr">
        <is>
          <t>0</t>
        </is>
      </c>
      <c r="L165" t="inlineStr">
        <is>
          <t>Leipzig-Berlin, Verlag Chemie g.m.b.h., 1924-</t>
        </is>
      </c>
      <c r="M165" t="inlineStr">
        <is>
          <t>1924</t>
        </is>
      </c>
      <c r="N165" t="inlineStr">
        <is>
          <t>8. aufl. Hrsg. von der Deutschen chemischen gesellschaft, bearb. von R.J. Meyer, unter beratender mitwirkung von Franz Peters.</t>
        </is>
      </c>
      <c r="O165" t="inlineStr">
        <is>
          <t>ger</t>
        </is>
      </c>
      <c r="P165" t="inlineStr">
        <is>
          <t xml:space="preserve">xx </t>
        </is>
      </c>
      <c r="R165" t="inlineStr">
        <is>
          <t xml:space="preserve">QD </t>
        </is>
      </c>
      <c r="S165" t="n">
        <v>1</v>
      </c>
      <c r="T165" t="n">
        <v>324</v>
      </c>
      <c r="U165" t="inlineStr">
        <is>
          <t>1998-07-27</t>
        </is>
      </c>
      <c r="V165" t="inlineStr">
        <is>
          <t>1998-07-28</t>
        </is>
      </c>
      <c r="W165" t="inlineStr">
        <is>
          <t>1997-06-03</t>
        </is>
      </c>
      <c r="X165" t="inlineStr">
        <is>
          <t>1998-06-24</t>
        </is>
      </c>
      <c r="Y165" t="n">
        <v>259</v>
      </c>
      <c r="Z165" t="n">
        <v>221</v>
      </c>
      <c r="AA165" t="n">
        <v>223</v>
      </c>
      <c r="AB165" t="n">
        <v>2</v>
      </c>
      <c r="AC165" t="n">
        <v>2</v>
      </c>
      <c r="AD165" t="n">
        <v>10</v>
      </c>
      <c r="AE165" t="n">
        <v>10</v>
      </c>
      <c r="AF165" t="n">
        <v>2</v>
      </c>
      <c r="AG165" t="n">
        <v>2</v>
      </c>
      <c r="AH165" t="n">
        <v>2</v>
      </c>
      <c r="AI165" t="n">
        <v>2</v>
      </c>
      <c r="AJ165" t="n">
        <v>8</v>
      </c>
      <c r="AK165" t="n">
        <v>8</v>
      </c>
      <c r="AL165" t="n">
        <v>1</v>
      </c>
      <c r="AM165" t="n">
        <v>1</v>
      </c>
      <c r="AN165" t="n">
        <v>0</v>
      </c>
      <c r="AO165" t="n">
        <v>0</v>
      </c>
      <c r="AP165" t="inlineStr">
        <is>
          <t>No</t>
        </is>
      </c>
      <c r="AQ165" t="inlineStr">
        <is>
          <t>Yes</t>
        </is>
      </c>
      <c r="AR165">
        <f>HYPERLINK("http://catalog.hathitrust.org/Record/009932175","HathiTrust Record")</f>
        <v/>
      </c>
      <c r="AS165">
        <f>HYPERLINK("https://creighton-primo.hosted.exlibrisgroup.com/primo-explore/search?tab=default_tab&amp;search_scope=EVERYTHING&amp;vid=01CRU&amp;lang=en_US&amp;offset=0&amp;query=any,contains,991005356889702656","Catalog Record")</f>
        <v/>
      </c>
      <c r="AT165">
        <f>HYPERLINK("http://www.worldcat.org/oclc/802031","WorldCat Record")</f>
        <v/>
      </c>
      <c r="AU165" t="inlineStr">
        <is>
          <t>4924721893:ger</t>
        </is>
      </c>
      <c r="AV165" t="inlineStr">
        <is>
          <t>802031</t>
        </is>
      </c>
      <c r="AW165" t="inlineStr">
        <is>
          <t>991005356889702656</t>
        </is>
      </c>
      <c r="AX165" t="inlineStr">
        <is>
          <t>991005356889702656</t>
        </is>
      </c>
      <c r="AY165" t="inlineStr">
        <is>
          <t>2270552310002656</t>
        </is>
      </c>
      <c r="AZ165" t="inlineStr">
        <is>
          <t>BOOK</t>
        </is>
      </c>
      <c r="BC165" t="inlineStr">
        <is>
          <t>32285002790128</t>
        </is>
      </c>
      <c r="BD165" t="inlineStr">
        <is>
          <t>893501773</t>
        </is>
      </c>
    </row>
    <row r="166">
      <c r="A166" t="inlineStr">
        <is>
          <t>No</t>
        </is>
      </c>
      <c r="B166" t="inlineStr">
        <is>
          <t>QD151 .G52 NO. 27 PT. B4</t>
        </is>
      </c>
      <c r="C166" t="inlineStr">
        <is>
          <t>0                      QD 0151000G  52                                                      NO. 27 PT. B4</t>
        </is>
      </c>
      <c r="D166" t="inlineStr">
        <is>
          <t>Gmelins Handbuch der anorganischen chemie.</t>
        </is>
      </c>
      <c r="E166" t="inlineStr">
        <is>
          <t>NO. 27 PT. B4*</t>
        </is>
      </c>
      <c r="F166" t="inlineStr">
        <is>
          <t>Yes</t>
        </is>
      </c>
      <c r="G166" t="inlineStr">
        <is>
          <t>1</t>
        </is>
      </c>
      <c r="H166" t="inlineStr">
        <is>
          <t>No</t>
        </is>
      </c>
      <c r="I166" t="inlineStr">
        <is>
          <t>No</t>
        </is>
      </c>
      <c r="J166" t="inlineStr">
        <is>
          <t>0</t>
        </is>
      </c>
      <c r="L166" t="inlineStr">
        <is>
          <t>Leipzig-Berlin, Verlag Chemie g.m.b.h., 1924-</t>
        </is>
      </c>
      <c r="M166" t="inlineStr">
        <is>
          <t>1924</t>
        </is>
      </c>
      <c r="N166" t="inlineStr">
        <is>
          <t>8. aufl. Hrsg. von der Deutschen chemischen gesellschaft, bearb. von R.J. Meyer, unter beratender mitwirkung von Franz Peters.</t>
        </is>
      </c>
      <c r="O166" t="inlineStr">
        <is>
          <t>ger</t>
        </is>
      </c>
      <c r="P166" t="inlineStr">
        <is>
          <t xml:space="preserve">xx </t>
        </is>
      </c>
      <c r="R166" t="inlineStr">
        <is>
          <t xml:space="preserve">QD </t>
        </is>
      </c>
      <c r="S166" t="n">
        <v>1</v>
      </c>
      <c r="T166" t="n">
        <v>324</v>
      </c>
      <c r="U166" t="inlineStr">
        <is>
          <t>1998-07-27</t>
        </is>
      </c>
      <c r="V166" t="inlineStr">
        <is>
          <t>1998-07-28</t>
        </is>
      </c>
      <c r="W166" t="inlineStr">
        <is>
          <t>1997-06-03</t>
        </is>
      </c>
      <c r="X166" t="inlineStr">
        <is>
          <t>1998-06-24</t>
        </is>
      </c>
      <c r="Y166" t="n">
        <v>259</v>
      </c>
      <c r="Z166" t="n">
        <v>221</v>
      </c>
      <c r="AA166" t="n">
        <v>223</v>
      </c>
      <c r="AB166" t="n">
        <v>2</v>
      </c>
      <c r="AC166" t="n">
        <v>2</v>
      </c>
      <c r="AD166" t="n">
        <v>10</v>
      </c>
      <c r="AE166" t="n">
        <v>10</v>
      </c>
      <c r="AF166" t="n">
        <v>2</v>
      </c>
      <c r="AG166" t="n">
        <v>2</v>
      </c>
      <c r="AH166" t="n">
        <v>2</v>
      </c>
      <c r="AI166" t="n">
        <v>2</v>
      </c>
      <c r="AJ166" t="n">
        <v>8</v>
      </c>
      <c r="AK166" t="n">
        <v>8</v>
      </c>
      <c r="AL166" t="n">
        <v>1</v>
      </c>
      <c r="AM166" t="n">
        <v>1</v>
      </c>
      <c r="AN166" t="n">
        <v>0</v>
      </c>
      <c r="AO166" t="n">
        <v>0</v>
      </c>
      <c r="AP166" t="inlineStr">
        <is>
          <t>No</t>
        </is>
      </c>
      <c r="AQ166" t="inlineStr">
        <is>
          <t>Yes</t>
        </is>
      </c>
      <c r="AR166">
        <f>HYPERLINK("http://catalog.hathitrust.org/Record/009932175","HathiTrust Record")</f>
        <v/>
      </c>
      <c r="AS166">
        <f>HYPERLINK("https://creighton-primo.hosted.exlibrisgroup.com/primo-explore/search?tab=default_tab&amp;search_scope=EVERYTHING&amp;vid=01CRU&amp;lang=en_US&amp;offset=0&amp;query=any,contains,991005356889702656","Catalog Record")</f>
        <v/>
      </c>
      <c r="AT166">
        <f>HYPERLINK("http://www.worldcat.org/oclc/802031","WorldCat Record")</f>
        <v/>
      </c>
      <c r="AU166" t="inlineStr">
        <is>
          <t>4924721893:ger</t>
        </is>
      </c>
      <c r="AV166" t="inlineStr">
        <is>
          <t>802031</t>
        </is>
      </c>
      <c r="AW166" t="inlineStr">
        <is>
          <t>991005356889702656</t>
        </is>
      </c>
      <c r="AX166" t="inlineStr">
        <is>
          <t>991005356889702656</t>
        </is>
      </c>
      <c r="AY166" t="inlineStr">
        <is>
          <t>2270552310002656</t>
        </is>
      </c>
      <c r="AZ166" t="inlineStr">
        <is>
          <t>BOOK</t>
        </is>
      </c>
      <c r="BC166" t="inlineStr">
        <is>
          <t>32285002790136</t>
        </is>
      </c>
      <c r="BD166" t="inlineStr">
        <is>
          <t>893533643</t>
        </is>
      </c>
    </row>
    <row r="167">
      <c r="A167" t="inlineStr">
        <is>
          <t>No</t>
        </is>
      </c>
      <c r="B167" t="inlineStr">
        <is>
          <t>QD151 .G52 NO. 28 PT. A1</t>
        </is>
      </c>
      <c r="C167" t="inlineStr">
        <is>
          <t>0                      QD 0151000G  52                                                      NO. 28 PT. A1</t>
        </is>
      </c>
      <c r="D167" t="inlineStr">
        <is>
          <t>Gmelins Handbuch der anorganischen chemie.</t>
        </is>
      </c>
      <c r="E167" t="inlineStr">
        <is>
          <t>NO. 28 PT. A1*</t>
        </is>
      </c>
      <c r="F167" t="inlineStr">
        <is>
          <t>Yes</t>
        </is>
      </c>
      <c r="G167" t="inlineStr">
        <is>
          <t>1</t>
        </is>
      </c>
      <c r="H167" t="inlineStr">
        <is>
          <t>No</t>
        </is>
      </c>
      <c r="I167" t="inlineStr">
        <is>
          <t>No</t>
        </is>
      </c>
      <c r="J167" t="inlineStr">
        <is>
          <t>0</t>
        </is>
      </c>
      <c r="L167" t="inlineStr">
        <is>
          <t>Leipzig-Berlin, Verlag Chemie g.m.b.h., 1924-</t>
        </is>
      </c>
      <c r="M167" t="inlineStr">
        <is>
          <t>1924</t>
        </is>
      </c>
      <c r="N167" t="inlineStr">
        <is>
          <t>8. aufl. Hrsg. von der Deutschen chemischen gesellschaft, bearb. von R.J. Meyer, unter beratender mitwirkung von Franz Peters.</t>
        </is>
      </c>
      <c r="O167" t="inlineStr">
        <is>
          <t>ger</t>
        </is>
      </c>
      <c r="P167" t="inlineStr">
        <is>
          <t xml:space="preserve">xx </t>
        </is>
      </c>
      <c r="R167" t="inlineStr">
        <is>
          <t xml:space="preserve">QD </t>
        </is>
      </c>
      <c r="S167" t="n">
        <v>1</v>
      </c>
      <c r="T167" t="n">
        <v>324</v>
      </c>
      <c r="U167" t="inlineStr">
        <is>
          <t>1998-07-27</t>
        </is>
      </c>
      <c r="V167" t="inlineStr">
        <is>
          <t>1998-07-28</t>
        </is>
      </c>
      <c r="W167" t="inlineStr">
        <is>
          <t>1997-06-03</t>
        </is>
      </c>
      <c r="X167" t="inlineStr">
        <is>
          <t>1998-06-24</t>
        </is>
      </c>
      <c r="Y167" t="n">
        <v>259</v>
      </c>
      <c r="Z167" t="n">
        <v>221</v>
      </c>
      <c r="AA167" t="n">
        <v>223</v>
      </c>
      <c r="AB167" t="n">
        <v>2</v>
      </c>
      <c r="AC167" t="n">
        <v>2</v>
      </c>
      <c r="AD167" t="n">
        <v>10</v>
      </c>
      <c r="AE167" t="n">
        <v>10</v>
      </c>
      <c r="AF167" t="n">
        <v>2</v>
      </c>
      <c r="AG167" t="n">
        <v>2</v>
      </c>
      <c r="AH167" t="n">
        <v>2</v>
      </c>
      <c r="AI167" t="n">
        <v>2</v>
      </c>
      <c r="AJ167" t="n">
        <v>8</v>
      </c>
      <c r="AK167" t="n">
        <v>8</v>
      </c>
      <c r="AL167" t="n">
        <v>1</v>
      </c>
      <c r="AM167" t="n">
        <v>1</v>
      </c>
      <c r="AN167" t="n">
        <v>0</v>
      </c>
      <c r="AO167" t="n">
        <v>0</v>
      </c>
      <c r="AP167" t="inlineStr">
        <is>
          <t>No</t>
        </is>
      </c>
      <c r="AQ167" t="inlineStr">
        <is>
          <t>Yes</t>
        </is>
      </c>
      <c r="AR167">
        <f>HYPERLINK("http://catalog.hathitrust.org/Record/009932175","HathiTrust Record")</f>
        <v/>
      </c>
      <c r="AS167">
        <f>HYPERLINK("https://creighton-primo.hosted.exlibrisgroup.com/primo-explore/search?tab=default_tab&amp;search_scope=EVERYTHING&amp;vid=01CRU&amp;lang=en_US&amp;offset=0&amp;query=any,contains,991005356889702656","Catalog Record")</f>
        <v/>
      </c>
      <c r="AT167">
        <f>HYPERLINK("http://www.worldcat.org/oclc/802031","WorldCat Record")</f>
        <v/>
      </c>
      <c r="AU167" t="inlineStr">
        <is>
          <t>4924721893:ger</t>
        </is>
      </c>
      <c r="AV167" t="inlineStr">
        <is>
          <t>802031</t>
        </is>
      </c>
      <c r="AW167" t="inlineStr">
        <is>
          <t>991005356889702656</t>
        </is>
      </c>
      <c r="AX167" t="inlineStr">
        <is>
          <t>991005356889702656</t>
        </is>
      </c>
      <c r="AY167" t="inlineStr">
        <is>
          <t>2270552310002656</t>
        </is>
      </c>
      <c r="AZ167" t="inlineStr">
        <is>
          <t>BOOK</t>
        </is>
      </c>
      <c r="BC167" t="inlineStr">
        <is>
          <t>32285002790144</t>
        </is>
      </c>
      <c r="BD167" t="inlineStr">
        <is>
          <t>893501772</t>
        </is>
      </c>
    </row>
    <row r="168">
      <c r="A168" t="inlineStr">
        <is>
          <t>No</t>
        </is>
      </c>
      <c r="B168" t="inlineStr">
        <is>
          <t>QD151 .G52 NO. 28 PT. A2</t>
        </is>
      </c>
      <c r="C168" t="inlineStr">
        <is>
          <t>0                      QD 0151000G  52                                                      NO. 28 PT. A2</t>
        </is>
      </c>
      <c r="D168" t="inlineStr">
        <is>
          <t>Gmelins Handbuch der anorganischen chemie.</t>
        </is>
      </c>
      <c r="E168" t="inlineStr">
        <is>
          <t>NO. 28 PT. A2*</t>
        </is>
      </c>
      <c r="F168" t="inlineStr">
        <is>
          <t>Yes</t>
        </is>
      </c>
      <c r="G168" t="inlineStr">
        <is>
          <t>1</t>
        </is>
      </c>
      <c r="H168" t="inlineStr">
        <is>
          <t>No</t>
        </is>
      </c>
      <c r="I168" t="inlineStr">
        <is>
          <t>No</t>
        </is>
      </c>
      <c r="J168" t="inlineStr">
        <is>
          <t>0</t>
        </is>
      </c>
      <c r="L168" t="inlineStr">
        <is>
          <t>Leipzig-Berlin, Verlag Chemie g.m.b.h., 1924-</t>
        </is>
      </c>
      <c r="M168" t="inlineStr">
        <is>
          <t>1924</t>
        </is>
      </c>
      <c r="N168" t="inlineStr">
        <is>
          <t>8. aufl. Hrsg. von der Deutschen chemischen gesellschaft, bearb. von R.J. Meyer, unter beratender mitwirkung von Franz Peters.</t>
        </is>
      </c>
      <c r="O168" t="inlineStr">
        <is>
          <t>ger</t>
        </is>
      </c>
      <c r="P168" t="inlineStr">
        <is>
          <t xml:space="preserve">xx </t>
        </is>
      </c>
      <c r="R168" t="inlineStr">
        <is>
          <t xml:space="preserve">QD </t>
        </is>
      </c>
      <c r="S168" t="n">
        <v>1</v>
      </c>
      <c r="T168" t="n">
        <v>324</v>
      </c>
      <c r="U168" t="inlineStr">
        <is>
          <t>1998-07-27</t>
        </is>
      </c>
      <c r="V168" t="inlineStr">
        <is>
          <t>1998-07-28</t>
        </is>
      </c>
      <c r="W168" t="inlineStr">
        <is>
          <t>1997-06-03</t>
        </is>
      </c>
      <c r="X168" t="inlineStr">
        <is>
          <t>1998-06-24</t>
        </is>
      </c>
      <c r="Y168" t="n">
        <v>259</v>
      </c>
      <c r="Z168" t="n">
        <v>221</v>
      </c>
      <c r="AA168" t="n">
        <v>223</v>
      </c>
      <c r="AB168" t="n">
        <v>2</v>
      </c>
      <c r="AC168" t="n">
        <v>2</v>
      </c>
      <c r="AD168" t="n">
        <v>10</v>
      </c>
      <c r="AE168" t="n">
        <v>10</v>
      </c>
      <c r="AF168" t="n">
        <v>2</v>
      </c>
      <c r="AG168" t="n">
        <v>2</v>
      </c>
      <c r="AH168" t="n">
        <v>2</v>
      </c>
      <c r="AI168" t="n">
        <v>2</v>
      </c>
      <c r="AJ168" t="n">
        <v>8</v>
      </c>
      <c r="AK168" t="n">
        <v>8</v>
      </c>
      <c r="AL168" t="n">
        <v>1</v>
      </c>
      <c r="AM168" t="n">
        <v>1</v>
      </c>
      <c r="AN168" t="n">
        <v>0</v>
      </c>
      <c r="AO168" t="n">
        <v>0</v>
      </c>
      <c r="AP168" t="inlineStr">
        <is>
          <t>No</t>
        </is>
      </c>
      <c r="AQ168" t="inlineStr">
        <is>
          <t>Yes</t>
        </is>
      </c>
      <c r="AR168">
        <f>HYPERLINK("http://catalog.hathitrust.org/Record/009932175","HathiTrust Record")</f>
        <v/>
      </c>
      <c r="AS168">
        <f>HYPERLINK("https://creighton-primo.hosted.exlibrisgroup.com/primo-explore/search?tab=default_tab&amp;search_scope=EVERYTHING&amp;vid=01CRU&amp;lang=en_US&amp;offset=0&amp;query=any,contains,991005356889702656","Catalog Record")</f>
        <v/>
      </c>
      <c r="AT168">
        <f>HYPERLINK("http://www.worldcat.org/oclc/802031","WorldCat Record")</f>
        <v/>
      </c>
      <c r="AU168" t="inlineStr">
        <is>
          <t>4924721893:ger</t>
        </is>
      </c>
      <c r="AV168" t="inlineStr">
        <is>
          <t>802031</t>
        </is>
      </c>
      <c r="AW168" t="inlineStr">
        <is>
          <t>991005356889702656</t>
        </is>
      </c>
      <c r="AX168" t="inlineStr">
        <is>
          <t>991005356889702656</t>
        </is>
      </c>
      <c r="AY168" t="inlineStr">
        <is>
          <t>2270552310002656</t>
        </is>
      </c>
      <c r="AZ168" t="inlineStr">
        <is>
          <t>BOOK</t>
        </is>
      </c>
      <c r="BC168" t="inlineStr">
        <is>
          <t>32285002790151</t>
        </is>
      </c>
      <c r="BD168" t="inlineStr">
        <is>
          <t>893527397</t>
        </is>
      </c>
    </row>
    <row r="169">
      <c r="A169" t="inlineStr">
        <is>
          <t>No</t>
        </is>
      </c>
      <c r="B169" t="inlineStr">
        <is>
          <t>QD151 .G52 NO. 28 PT. B1</t>
        </is>
      </c>
      <c r="C169" t="inlineStr">
        <is>
          <t>0                      QD 0151000G  52                                                      NO. 28 PT. B1</t>
        </is>
      </c>
      <c r="D169" t="inlineStr">
        <is>
          <t>Gmelins Handbuch der anorganischen chemie.</t>
        </is>
      </c>
      <c r="E169" t="inlineStr">
        <is>
          <t>NO. 28 PT. B1*</t>
        </is>
      </c>
      <c r="F169" t="inlineStr">
        <is>
          <t>Yes</t>
        </is>
      </c>
      <c r="G169" t="inlineStr">
        <is>
          <t>1</t>
        </is>
      </c>
      <c r="H169" t="inlineStr">
        <is>
          <t>No</t>
        </is>
      </c>
      <c r="I169" t="inlineStr">
        <is>
          <t>No</t>
        </is>
      </c>
      <c r="J169" t="inlineStr">
        <is>
          <t>0</t>
        </is>
      </c>
      <c r="L169" t="inlineStr">
        <is>
          <t>Leipzig-Berlin, Verlag Chemie g.m.b.h., 1924-</t>
        </is>
      </c>
      <c r="M169" t="inlineStr">
        <is>
          <t>1924</t>
        </is>
      </c>
      <c r="N169" t="inlineStr">
        <is>
          <t>8. aufl. Hrsg. von der Deutschen chemischen gesellschaft, bearb. von R.J. Meyer, unter beratender mitwirkung von Franz Peters.</t>
        </is>
      </c>
      <c r="O169" t="inlineStr">
        <is>
          <t>ger</t>
        </is>
      </c>
      <c r="P169" t="inlineStr">
        <is>
          <t xml:space="preserve">xx </t>
        </is>
      </c>
      <c r="R169" t="inlineStr">
        <is>
          <t xml:space="preserve">QD </t>
        </is>
      </c>
      <c r="S169" t="n">
        <v>1</v>
      </c>
      <c r="T169" t="n">
        <v>324</v>
      </c>
      <c r="U169" t="inlineStr">
        <is>
          <t>1998-07-27</t>
        </is>
      </c>
      <c r="V169" t="inlineStr">
        <is>
          <t>1998-07-28</t>
        </is>
      </c>
      <c r="W169" t="inlineStr">
        <is>
          <t>1997-06-03</t>
        </is>
      </c>
      <c r="X169" t="inlineStr">
        <is>
          <t>1998-06-24</t>
        </is>
      </c>
      <c r="Y169" t="n">
        <v>259</v>
      </c>
      <c r="Z169" t="n">
        <v>221</v>
      </c>
      <c r="AA169" t="n">
        <v>223</v>
      </c>
      <c r="AB169" t="n">
        <v>2</v>
      </c>
      <c r="AC169" t="n">
        <v>2</v>
      </c>
      <c r="AD169" t="n">
        <v>10</v>
      </c>
      <c r="AE169" t="n">
        <v>10</v>
      </c>
      <c r="AF169" t="n">
        <v>2</v>
      </c>
      <c r="AG169" t="n">
        <v>2</v>
      </c>
      <c r="AH169" t="n">
        <v>2</v>
      </c>
      <c r="AI169" t="n">
        <v>2</v>
      </c>
      <c r="AJ169" t="n">
        <v>8</v>
      </c>
      <c r="AK169" t="n">
        <v>8</v>
      </c>
      <c r="AL169" t="n">
        <v>1</v>
      </c>
      <c r="AM169" t="n">
        <v>1</v>
      </c>
      <c r="AN169" t="n">
        <v>0</v>
      </c>
      <c r="AO169" t="n">
        <v>0</v>
      </c>
      <c r="AP169" t="inlineStr">
        <is>
          <t>No</t>
        </is>
      </c>
      <c r="AQ169" t="inlineStr">
        <is>
          <t>Yes</t>
        </is>
      </c>
      <c r="AR169">
        <f>HYPERLINK("http://catalog.hathitrust.org/Record/009932175","HathiTrust Record")</f>
        <v/>
      </c>
      <c r="AS169">
        <f>HYPERLINK("https://creighton-primo.hosted.exlibrisgroup.com/primo-explore/search?tab=default_tab&amp;search_scope=EVERYTHING&amp;vid=01CRU&amp;lang=en_US&amp;offset=0&amp;query=any,contains,991005356889702656","Catalog Record")</f>
        <v/>
      </c>
      <c r="AT169">
        <f>HYPERLINK("http://www.worldcat.org/oclc/802031","WorldCat Record")</f>
        <v/>
      </c>
      <c r="AU169" t="inlineStr">
        <is>
          <t>4924721893:ger</t>
        </is>
      </c>
      <c r="AV169" t="inlineStr">
        <is>
          <t>802031</t>
        </is>
      </c>
      <c r="AW169" t="inlineStr">
        <is>
          <t>991005356889702656</t>
        </is>
      </c>
      <c r="AX169" t="inlineStr">
        <is>
          <t>991005356889702656</t>
        </is>
      </c>
      <c r="AY169" t="inlineStr">
        <is>
          <t>2270552310002656</t>
        </is>
      </c>
      <c r="AZ169" t="inlineStr">
        <is>
          <t>BOOK</t>
        </is>
      </c>
      <c r="BC169" t="inlineStr">
        <is>
          <t>32285002790169</t>
        </is>
      </c>
      <c r="BD169" t="inlineStr">
        <is>
          <t>893533642</t>
        </is>
      </c>
    </row>
    <row r="170">
      <c r="A170" t="inlineStr">
        <is>
          <t>No</t>
        </is>
      </c>
      <c r="B170" t="inlineStr">
        <is>
          <t>QD151 .G52 NO. 28 PT. B2</t>
        </is>
      </c>
      <c r="C170" t="inlineStr">
        <is>
          <t>0                      QD 0151000G  52                                                      NO. 28 PT. B2</t>
        </is>
      </c>
      <c r="D170" t="inlineStr">
        <is>
          <t>Gmelins Handbuch der anorganischen chemie.</t>
        </is>
      </c>
      <c r="E170" t="inlineStr">
        <is>
          <t>NO. 28 PT. B2*</t>
        </is>
      </c>
      <c r="F170" t="inlineStr">
        <is>
          <t>Yes</t>
        </is>
      </c>
      <c r="G170" t="inlineStr">
        <is>
          <t>1</t>
        </is>
      </c>
      <c r="H170" t="inlineStr">
        <is>
          <t>No</t>
        </is>
      </c>
      <c r="I170" t="inlineStr">
        <is>
          <t>No</t>
        </is>
      </c>
      <c r="J170" t="inlineStr">
        <is>
          <t>0</t>
        </is>
      </c>
      <c r="L170" t="inlineStr">
        <is>
          <t>Leipzig-Berlin, Verlag Chemie g.m.b.h., 1924-</t>
        </is>
      </c>
      <c r="M170" t="inlineStr">
        <is>
          <t>1924</t>
        </is>
      </c>
      <c r="N170" t="inlineStr">
        <is>
          <t>8. aufl. Hrsg. von der Deutschen chemischen gesellschaft, bearb. von R.J. Meyer, unter beratender mitwirkung von Franz Peters.</t>
        </is>
      </c>
      <c r="O170" t="inlineStr">
        <is>
          <t>ger</t>
        </is>
      </c>
      <c r="P170" t="inlineStr">
        <is>
          <t xml:space="preserve">xx </t>
        </is>
      </c>
      <c r="R170" t="inlineStr">
        <is>
          <t xml:space="preserve">QD </t>
        </is>
      </c>
      <c r="S170" t="n">
        <v>1</v>
      </c>
      <c r="T170" t="n">
        <v>324</v>
      </c>
      <c r="U170" t="inlineStr">
        <is>
          <t>1998-07-27</t>
        </is>
      </c>
      <c r="V170" t="inlineStr">
        <is>
          <t>1998-07-28</t>
        </is>
      </c>
      <c r="W170" t="inlineStr">
        <is>
          <t>1997-06-03</t>
        </is>
      </c>
      <c r="X170" t="inlineStr">
        <is>
          <t>1998-06-24</t>
        </is>
      </c>
      <c r="Y170" t="n">
        <v>259</v>
      </c>
      <c r="Z170" t="n">
        <v>221</v>
      </c>
      <c r="AA170" t="n">
        <v>223</v>
      </c>
      <c r="AB170" t="n">
        <v>2</v>
      </c>
      <c r="AC170" t="n">
        <v>2</v>
      </c>
      <c r="AD170" t="n">
        <v>10</v>
      </c>
      <c r="AE170" t="n">
        <v>10</v>
      </c>
      <c r="AF170" t="n">
        <v>2</v>
      </c>
      <c r="AG170" t="n">
        <v>2</v>
      </c>
      <c r="AH170" t="n">
        <v>2</v>
      </c>
      <c r="AI170" t="n">
        <v>2</v>
      </c>
      <c r="AJ170" t="n">
        <v>8</v>
      </c>
      <c r="AK170" t="n">
        <v>8</v>
      </c>
      <c r="AL170" t="n">
        <v>1</v>
      </c>
      <c r="AM170" t="n">
        <v>1</v>
      </c>
      <c r="AN170" t="n">
        <v>0</v>
      </c>
      <c r="AO170" t="n">
        <v>0</v>
      </c>
      <c r="AP170" t="inlineStr">
        <is>
          <t>No</t>
        </is>
      </c>
      <c r="AQ170" t="inlineStr">
        <is>
          <t>Yes</t>
        </is>
      </c>
      <c r="AR170">
        <f>HYPERLINK("http://catalog.hathitrust.org/Record/009932175","HathiTrust Record")</f>
        <v/>
      </c>
      <c r="AS170">
        <f>HYPERLINK("https://creighton-primo.hosted.exlibrisgroup.com/primo-explore/search?tab=default_tab&amp;search_scope=EVERYTHING&amp;vid=01CRU&amp;lang=en_US&amp;offset=0&amp;query=any,contains,991005356889702656","Catalog Record")</f>
        <v/>
      </c>
      <c r="AT170">
        <f>HYPERLINK("http://www.worldcat.org/oclc/802031","WorldCat Record")</f>
        <v/>
      </c>
      <c r="AU170" t="inlineStr">
        <is>
          <t>4924721893:ger</t>
        </is>
      </c>
      <c r="AV170" t="inlineStr">
        <is>
          <t>802031</t>
        </is>
      </c>
      <c r="AW170" t="inlineStr">
        <is>
          <t>991005356889702656</t>
        </is>
      </c>
      <c r="AX170" t="inlineStr">
        <is>
          <t>991005356889702656</t>
        </is>
      </c>
      <c r="AY170" t="inlineStr">
        <is>
          <t>2270552310002656</t>
        </is>
      </c>
      <c r="AZ170" t="inlineStr">
        <is>
          <t>BOOK</t>
        </is>
      </c>
      <c r="BC170" t="inlineStr">
        <is>
          <t>32285002790177</t>
        </is>
      </c>
      <c r="BD170" t="inlineStr">
        <is>
          <t>893508057</t>
        </is>
      </c>
    </row>
    <row r="171">
      <c r="A171" t="inlineStr">
        <is>
          <t>No</t>
        </is>
      </c>
      <c r="B171" t="inlineStr">
        <is>
          <t>QD151 .G52 NO. 28 PT. B3</t>
        </is>
      </c>
      <c r="C171" t="inlineStr">
        <is>
          <t>0                      QD 0151000G  52                                                      NO. 28 PT. B3</t>
        </is>
      </c>
      <c r="D171" t="inlineStr">
        <is>
          <t>Gmelins Handbuch der anorganischen chemie.</t>
        </is>
      </c>
      <c r="E171" t="inlineStr">
        <is>
          <t>NO. 28 PT. B3*</t>
        </is>
      </c>
      <c r="F171" t="inlineStr">
        <is>
          <t>Yes</t>
        </is>
      </c>
      <c r="G171" t="inlineStr">
        <is>
          <t>1</t>
        </is>
      </c>
      <c r="H171" t="inlineStr">
        <is>
          <t>No</t>
        </is>
      </c>
      <c r="I171" t="inlineStr">
        <is>
          <t>No</t>
        </is>
      </c>
      <c r="J171" t="inlineStr">
        <is>
          <t>0</t>
        </is>
      </c>
      <c r="L171" t="inlineStr">
        <is>
          <t>Leipzig-Berlin, Verlag Chemie g.m.b.h., 1924-</t>
        </is>
      </c>
      <c r="M171" t="inlineStr">
        <is>
          <t>1924</t>
        </is>
      </c>
      <c r="N171" t="inlineStr">
        <is>
          <t>8. aufl. Hrsg. von der Deutschen chemischen gesellschaft, bearb. von R.J. Meyer, unter beratender mitwirkung von Franz Peters.</t>
        </is>
      </c>
      <c r="O171" t="inlineStr">
        <is>
          <t>ger</t>
        </is>
      </c>
      <c r="P171" t="inlineStr">
        <is>
          <t xml:space="preserve">xx </t>
        </is>
      </c>
      <c r="R171" t="inlineStr">
        <is>
          <t xml:space="preserve">QD </t>
        </is>
      </c>
      <c r="S171" t="n">
        <v>1</v>
      </c>
      <c r="T171" t="n">
        <v>324</v>
      </c>
      <c r="U171" t="inlineStr">
        <is>
          <t>1998-07-27</t>
        </is>
      </c>
      <c r="V171" t="inlineStr">
        <is>
          <t>1998-07-28</t>
        </is>
      </c>
      <c r="W171" t="inlineStr">
        <is>
          <t>1997-06-03</t>
        </is>
      </c>
      <c r="X171" t="inlineStr">
        <is>
          <t>1998-06-24</t>
        </is>
      </c>
      <c r="Y171" t="n">
        <v>259</v>
      </c>
      <c r="Z171" t="n">
        <v>221</v>
      </c>
      <c r="AA171" t="n">
        <v>223</v>
      </c>
      <c r="AB171" t="n">
        <v>2</v>
      </c>
      <c r="AC171" t="n">
        <v>2</v>
      </c>
      <c r="AD171" t="n">
        <v>10</v>
      </c>
      <c r="AE171" t="n">
        <v>10</v>
      </c>
      <c r="AF171" t="n">
        <v>2</v>
      </c>
      <c r="AG171" t="n">
        <v>2</v>
      </c>
      <c r="AH171" t="n">
        <v>2</v>
      </c>
      <c r="AI171" t="n">
        <v>2</v>
      </c>
      <c r="AJ171" t="n">
        <v>8</v>
      </c>
      <c r="AK171" t="n">
        <v>8</v>
      </c>
      <c r="AL171" t="n">
        <v>1</v>
      </c>
      <c r="AM171" t="n">
        <v>1</v>
      </c>
      <c r="AN171" t="n">
        <v>0</v>
      </c>
      <c r="AO171" t="n">
        <v>0</v>
      </c>
      <c r="AP171" t="inlineStr">
        <is>
          <t>No</t>
        </is>
      </c>
      <c r="AQ171" t="inlineStr">
        <is>
          <t>Yes</t>
        </is>
      </c>
      <c r="AR171">
        <f>HYPERLINK("http://catalog.hathitrust.org/Record/009932175","HathiTrust Record")</f>
        <v/>
      </c>
      <c r="AS171">
        <f>HYPERLINK("https://creighton-primo.hosted.exlibrisgroup.com/primo-explore/search?tab=default_tab&amp;search_scope=EVERYTHING&amp;vid=01CRU&amp;lang=en_US&amp;offset=0&amp;query=any,contains,991005356889702656","Catalog Record")</f>
        <v/>
      </c>
      <c r="AT171">
        <f>HYPERLINK("http://www.worldcat.org/oclc/802031","WorldCat Record")</f>
        <v/>
      </c>
      <c r="AU171" t="inlineStr">
        <is>
          <t>4924721893:ger</t>
        </is>
      </c>
      <c r="AV171" t="inlineStr">
        <is>
          <t>802031</t>
        </is>
      </c>
      <c r="AW171" t="inlineStr">
        <is>
          <t>991005356889702656</t>
        </is>
      </c>
      <c r="AX171" t="inlineStr">
        <is>
          <t>991005356889702656</t>
        </is>
      </c>
      <c r="AY171" t="inlineStr">
        <is>
          <t>2270552310002656</t>
        </is>
      </c>
      <c r="AZ171" t="inlineStr">
        <is>
          <t>BOOK</t>
        </is>
      </c>
      <c r="BC171" t="inlineStr">
        <is>
          <t>32285002790185</t>
        </is>
      </c>
      <c r="BD171" t="inlineStr">
        <is>
          <t>893520959</t>
        </is>
      </c>
    </row>
    <row r="172">
      <c r="A172" t="inlineStr">
        <is>
          <t>No</t>
        </is>
      </c>
      <c r="B172" t="inlineStr">
        <is>
          <t>QD151 .G52 NO. 29</t>
        </is>
      </c>
      <c r="C172" t="inlineStr">
        <is>
          <t>0                      QD 0151000G  52                                                      NO. 29</t>
        </is>
      </c>
      <c r="D172" t="inlineStr">
        <is>
          <t>Gmelins Handbuch der anorganischen chemie.</t>
        </is>
      </c>
      <c r="E172" t="inlineStr">
        <is>
          <t>NO. 29*</t>
        </is>
      </c>
      <c r="F172" t="inlineStr">
        <is>
          <t>Yes</t>
        </is>
      </c>
      <c r="G172" t="inlineStr">
        <is>
          <t>1</t>
        </is>
      </c>
      <c r="H172" t="inlineStr">
        <is>
          <t>No</t>
        </is>
      </c>
      <c r="I172" t="inlineStr">
        <is>
          <t>No</t>
        </is>
      </c>
      <c r="J172" t="inlineStr">
        <is>
          <t>0</t>
        </is>
      </c>
      <c r="L172" t="inlineStr">
        <is>
          <t>Leipzig-Berlin, Verlag Chemie g.m.b.h., 1924-</t>
        </is>
      </c>
      <c r="M172" t="inlineStr">
        <is>
          <t>1924</t>
        </is>
      </c>
      <c r="N172" t="inlineStr">
        <is>
          <t>8. aufl. Hrsg. von der Deutschen chemischen gesellschaft, bearb. von R.J. Meyer, unter beratender mitwirkung von Franz Peters.</t>
        </is>
      </c>
      <c r="O172" t="inlineStr">
        <is>
          <t>ger</t>
        </is>
      </c>
      <c r="P172" t="inlineStr">
        <is>
          <t xml:space="preserve">xx </t>
        </is>
      </c>
      <c r="R172" t="inlineStr">
        <is>
          <t xml:space="preserve">QD </t>
        </is>
      </c>
      <c r="S172" t="n">
        <v>1</v>
      </c>
      <c r="T172" t="n">
        <v>324</v>
      </c>
      <c r="U172" t="inlineStr">
        <is>
          <t>1998-07-27</t>
        </is>
      </c>
      <c r="V172" t="inlineStr">
        <is>
          <t>1998-07-28</t>
        </is>
      </c>
      <c r="W172" t="inlineStr">
        <is>
          <t>1997-06-03</t>
        </is>
      </c>
      <c r="X172" t="inlineStr">
        <is>
          <t>1998-06-24</t>
        </is>
      </c>
      <c r="Y172" t="n">
        <v>259</v>
      </c>
      <c r="Z172" t="n">
        <v>221</v>
      </c>
      <c r="AA172" t="n">
        <v>223</v>
      </c>
      <c r="AB172" t="n">
        <v>2</v>
      </c>
      <c r="AC172" t="n">
        <v>2</v>
      </c>
      <c r="AD172" t="n">
        <v>10</v>
      </c>
      <c r="AE172" t="n">
        <v>10</v>
      </c>
      <c r="AF172" t="n">
        <v>2</v>
      </c>
      <c r="AG172" t="n">
        <v>2</v>
      </c>
      <c r="AH172" t="n">
        <v>2</v>
      </c>
      <c r="AI172" t="n">
        <v>2</v>
      </c>
      <c r="AJ172" t="n">
        <v>8</v>
      </c>
      <c r="AK172" t="n">
        <v>8</v>
      </c>
      <c r="AL172" t="n">
        <v>1</v>
      </c>
      <c r="AM172" t="n">
        <v>1</v>
      </c>
      <c r="AN172" t="n">
        <v>0</v>
      </c>
      <c r="AO172" t="n">
        <v>0</v>
      </c>
      <c r="AP172" t="inlineStr">
        <is>
          <t>No</t>
        </is>
      </c>
      <c r="AQ172" t="inlineStr">
        <is>
          <t>Yes</t>
        </is>
      </c>
      <c r="AR172">
        <f>HYPERLINK("http://catalog.hathitrust.org/Record/009932175","HathiTrust Record")</f>
        <v/>
      </c>
      <c r="AS172">
        <f>HYPERLINK("https://creighton-primo.hosted.exlibrisgroup.com/primo-explore/search?tab=default_tab&amp;search_scope=EVERYTHING&amp;vid=01CRU&amp;lang=en_US&amp;offset=0&amp;query=any,contains,991005356889702656","Catalog Record")</f>
        <v/>
      </c>
      <c r="AT172">
        <f>HYPERLINK("http://www.worldcat.org/oclc/802031","WorldCat Record")</f>
        <v/>
      </c>
      <c r="AU172" t="inlineStr">
        <is>
          <t>4924721893:ger</t>
        </is>
      </c>
      <c r="AV172" t="inlineStr">
        <is>
          <t>802031</t>
        </is>
      </c>
      <c r="AW172" t="inlineStr">
        <is>
          <t>991005356889702656</t>
        </is>
      </c>
      <c r="AX172" t="inlineStr">
        <is>
          <t>991005356889702656</t>
        </is>
      </c>
      <c r="AY172" t="inlineStr">
        <is>
          <t>2270552310002656</t>
        </is>
      </c>
      <c r="AZ172" t="inlineStr">
        <is>
          <t>BOOK</t>
        </is>
      </c>
      <c r="BC172" t="inlineStr">
        <is>
          <t>32285002790193</t>
        </is>
      </c>
      <c r="BD172" t="inlineStr">
        <is>
          <t>893520924</t>
        </is>
      </c>
    </row>
    <row r="173">
      <c r="A173" t="inlineStr">
        <is>
          <t>No</t>
        </is>
      </c>
      <c r="B173" t="inlineStr">
        <is>
          <t>QD151 .G52 NO. 29 SUPP.</t>
        </is>
      </c>
      <c r="C173" t="inlineStr">
        <is>
          <t>0                      QD 0151000G  52                                                      NO. 29 SUPP.</t>
        </is>
      </c>
      <c r="D173" t="inlineStr">
        <is>
          <t>Gmelins Handbuch der anorganischen chemie.</t>
        </is>
      </c>
      <c r="E173" t="inlineStr">
        <is>
          <t>NO. 29 SUPP.*</t>
        </is>
      </c>
      <c r="F173" t="inlineStr">
        <is>
          <t>Yes</t>
        </is>
      </c>
      <c r="G173" t="inlineStr">
        <is>
          <t>1</t>
        </is>
      </c>
      <c r="H173" t="inlineStr">
        <is>
          <t>No</t>
        </is>
      </c>
      <c r="I173" t="inlineStr">
        <is>
          <t>No</t>
        </is>
      </c>
      <c r="J173" t="inlineStr">
        <is>
          <t>0</t>
        </is>
      </c>
      <c r="L173" t="inlineStr">
        <is>
          <t>Leipzig-Berlin, Verlag Chemie g.m.b.h., 1924-</t>
        </is>
      </c>
      <c r="M173" t="inlineStr">
        <is>
          <t>1924</t>
        </is>
      </c>
      <c r="N173" t="inlineStr">
        <is>
          <t>8. aufl. Hrsg. von der Deutschen chemischen gesellschaft, bearb. von R.J. Meyer, unter beratender mitwirkung von Franz Peters.</t>
        </is>
      </c>
      <c r="O173" t="inlineStr">
        <is>
          <t>ger</t>
        </is>
      </c>
      <c r="P173" t="inlineStr">
        <is>
          <t xml:space="preserve">xx </t>
        </is>
      </c>
      <c r="R173" t="inlineStr">
        <is>
          <t xml:space="preserve">QD </t>
        </is>
      </c>
      <c r="S173" t="n">
        <v>1</v>
      </c>
      <c r="T173" t="n">
        <v>324</v>
      </c>
      <c r="U173" t="inlineStr">
        <is>
          <t>1998-07-27</t>
        </is>
      </c>
      <c r="V173" t="inlineStr">
        <is>
          <t>1998-07-28</t>
        </is>
      </c>
      <c r="W173" t="inlineStr">
        <is>
          <t>1997-06-03</t>
        </is>
      </c>
      <c r="X173" t="inlineStr">
        <is>
          <t>1998-06-24</t>
        </is>
      </c>
      <c r="Y173" t="n">
        <v>259</v>
      </c>
      <c r="Z173" t="n">
        <v>221</v>
      </c>
      <c r="AA173" t="n">
        <v>223</v>
      </c>
      <c r="AB173" t="n">
        <v>2</v>
      </c>
      <c r="AC173" t="n">
        <v>2</v>
      </c>
      <c r="AD173" t="n">
        <v>10</v>
      </c>
      <c r="AE173" t="n">
        <v>10</v>
      </c>
      <c r="AF173" t="n">
        <v>2</v>
      </c>
      <c r="AG173" t="n">
        <v>2</v>
      </c>
      <c r="AH173" t="n">
        <v>2</v>
      </c>
      <c r="AI173" t="n">
        <v>2</v>
      </c>
      <c r="AJ173" t="n">
        <v>8</v>
      </c>
      <c r="AK173" t="n">
        <v>8</v>
      </c>
      <c r="AL173" t="n">
        <v>1</v>
      </c>
      <c r="AM173" t="n">
        <v>1</v>
      </c>
      <c r="AN173" t="n">
        <v>0</v>
      </c>
      <c r="AO173" t="n">
        <v>0</v>
      </c>
      <c r="AP173" t="inlineStr">
        <is>
          <t>No</t>
        </is>
      </c>
      <c r="AQ173" t="inlineStr">
        <is>
          <t>Yes</t>
        </is>
      </c>
      <c r="AR173">
        <f>HYPERLINK("http://catalog.hathitrust.org/Record/009932175","HathiTrust Record")</f>
        <v/>
      </c>
      <c r="AS173">
        <f>HYPERLINK("https://creighton-primo.hosted.exlibrisgroup.com/primo-explore/search?tab=default_tab&amp;search_scope=EVERYTHING&amp;vid=01CRU&amp;lang=en_US&amp;offset=0&amp;query=any,contains,991005356889702656","Catalog Record")</f>
        <v/>
      </c>
      <c r="AT173">
        <f>HYPERLINK("http://www.worldcat.org/oclc/802031","WorldCat Record")</f>
        <v/>
      </c>
      <c r="AU173" t="inlineStr">
        <is>
          <t>4924721893:ger</t>
        </is>
      </c>
      <c r="AV173" t="inlineStr">
        <is>
          <t>802031</t>
        </is>
      </c>
      <c r="AW173" t="inlineStr">
        <is>
          <t>991005356889702656</t>
        </is>
      </c>
      <c r="AX173" t="inlineStr">
        <is>
          <t>991005356889702656</t>
        </is>
      </c>
      <c r="AY173" t="inlineStr">
        <is>
          <t>2270552310002656</t>
        </is>
      </c>
      <c r="AZ173" t="inlineStr">
        <is>
          <t>BOOK</t>
        </is>
      </c>
      <c r="BC173" t="inlineStr">
        <is>
          <t>32285002790201</t>
        </is>
      </c>
      <c r="BD173" t="inlineStr">
        <is>
          <t>893527396</t>
        </is>
      </c>
    </row>
    <row r="174">
      <c r="A174" t="inlineStr">
        <is>
          <t>No</t>
        </is>
      </c>
      <c r="B174" t="inlineStr">
        <is>
          <t>QD151 .G52 NO. 3</t>
        </is>
      </c>
      <c r="C174" t="inlineStr">
        <is>
          <t>0                      QD 0151000G  52                                                      NO. 3</t>
        </is>
      </c>
      <c r="D174" t="inlineStr">
        <is>
          <t>Gmelins Handbuch der anorganischen chemie.</t>
        </is>
      </c>
      <c r="E174" t="inlineStr">
        <is>
          <t>NO. 3*</t>
        </is>
      </c>
      <c r="F174" t="inlineStr">
        <is>
          <t>Yes</t>
        </is>
      </c>
      <c r="G174" t="inlineStr">
        <is>
          <t>1</t>
        </is>
      </c>
      <c r="H174" t="inlineStr">
        <is>
          <t>No</t>
        </is>
      </c>
      <c r="I174" t="inlineStr">
        <is>
          <t>No</t>
        </is>
      </c>
      <c r="J174" t="inlineStr">
        <is>
          <t>0</t>
        </is>
      </c>
      <c r="L174" t="inlineStr">
        <is>
          <t>Leipzig-Berlin, Verlag Chemie g.m.b.h., 1924-</t>
        </is>
      </c>
      <c r="M174" t="inlineStr">
        <is>
          <t>1924</t>
        </is>
      </c>
      <c r="N174" t="inlineStr">
        <is>
          <t>8. aufl. Hrsg. von der Deutschen chemischen gesellschaft, bearb. von R.J. Meyer, unter beratender mitwirkung von Franz Peters.</t>
        </is>
      </c>
      <c r="O174" t="inlineStr">
        <is>
          <t>ger</t>
        </is>
      </c>
      <c r="P174" t="inlineStr">
        <is>
          <t xml:space="preserve">xx </t>
        </is>
      </c>
      <c r="R174" t="inlineStr">
        <is>
          <t xml:space="preserve">QD </t>
        </is>
      </c>
      <c r="S174" t="n">
        <v>1</v>
      </c>
      <c r="T174" t="n">
        <v>324</v>
      </c>
      <c r="U174" t="inlineStr">
        <is>
          <t>1998-07-27</t>
        </is>
      </c>
      <c r="V174" t="inlineStr">
        <is>
          <t>1998-07-28</t>
        </is>
      </c>
      <c r="W174" t="inlineStr">
        <is>
          <t>1997-06-02</t>
        </is>
      </c>
      <c r="X174" t="inlineStr">
        <is>
          <t>1998-06-24</t>
        </is>
      </c>
      <c r="Y174" t="n">
        <v>259</v>
      </c>
      <c r="Z174" t="n">
        <v>221</v>
      </c>
      <c r="AA174" t="n">
        <v>223</v>
      </c>
      <c r="AB174" t="n">
        <v>2</v>
      </c>
      <c r="AC174" t="n">
        <v>2</v>
      </c>
      <c r="AD174" t="n">
        <v>10</v>
      </c>
      <c r="AE174" t="n">
        <v>10</v>
      </c>
      <c r="AF174" t="n">
        <v>2</v>
      </c>
      <c r="AG174" t="n">
        <v>2</v>
      </c>
      <c r="AH174" t="n">
        <v>2</v>
      </c>
      <c r="AI174" t="n">
        <v>2</v>
      </c>
      <c r="AJ174" t="n">
        <v>8</v>
      </c>
      <c r="AK174" t="n">
        <v>8</v>
      </c>
      <c r="AL174" t="n">
        <v>1</v>
      </c>
      <c r="AM174" t="n">
        <v>1</v>
      </c>
      <c r="AN174" t="n">
        <v>0</v>
      </c>
      <c r="AO174" t="n">
        <v>0</v>
      </c>
      <c r="AP174" t="inlineStr">
        <is>
          <t>No</t>
        </is>
      </c>
      <c r="AQ174" t="inlineStr">
        <is>
          <t>Yes</t>
        </is>
      </c>
      <c r="AR174">
        <f>HYPERLINK("http://catalog.hathitrust.org/Record/009932175","HathiTrust Record")</f>
        <v/>
      </c>
      <c r="AS174">
        <f>HYPERLINK("https://creighton-primo.hosted.exlibrisgroup.com/primo-explore/search?tab=default_tab&amp;search_scope=EVERYTHING&amp;vid=01CRU&amp;lang=en_US&amp;offset=0&amp;query=any,contains,991005356889702656","Catalog Record")</f>
        <v/>
      </c>
      <c r="AT174">
        <f>HYPERLINK("http://www.worldcat.org/oclc/802031","WorldCat Record")</f>
        <v/>
      </c>
      <c r="AU174" t="inlineStr">
        <is>
          <t>4924721893:ger</t>
        </is>
      </c>
      <c r="AV174" t="inlineStr">
        <is>
          <t>802031</t>
        </is>
      </c>
      <c r="AW174" t="inlineStr">
        <is>
          <t>991005356889702656</t>
        </is>
      </c>
      <c r="AX174" t="inlineStr">
        <is>
          <t>991005356889702656</t>
        </is>
      </c>
      <c r="AY174" t="inlineStr">
        <is>
          <t>2270552310002656</t>
        </is>
      </c>
      <c r="AZ174" t="inlineStr">
        <is>
          <t>BOOK</t>
        </is>
      </c>
      <c r="BC174" t="inlineStr">
        <is>
          <t>32285002779204</t>
        </is>
      </c>
      <c r="BD174" t="inlineStr">
        <is>
          <t>893533640</t>
        </is>
      </c>
    </row>
    <row r="175">
      <c r="A175" t="inlineStr">
        <is>
          <t>No</t>
        </is>
      </c>
      <c r="B175" t="inlineStr">
        <is>
          <t>QD151 .G52 NO. 3 SECT. 1</t>
        </is>
      </c>
      <c r="C175" t="inlineStr">
        <is>
          <t>0                      QD 0151000G  52                                                      NO. 3 SECT. 1</t>
        </is>
      </c>
      <c r="D175" t="inlineStr">
        <is>
          <t>Gmelins Handbuch der anorganischen chemie.</t>
        </is>
      </c>
      <c r="E175" t="inlineStr">
        <is>
          <t>NO. 3 SECT. 1*</t>
        </is>
      </c>
      <c r="F175" t="inlineStr">
        <is>
          <t>Yes</t>
        </is>
      </c>
      <c r="G175" t="inlineStr">
        <is>
          <t>1</t>
        </is>
      </c>
      <c r="H175" t="inlineStr">
        <is>
          <t>No</t>
        </is>
      </c>
      <c r="I175" t="inlineStr">
        <is>
          <t>No</t>
        </is>
      </c>
      <c r="J175" t="inlineStr">
        <is>
          <t>0</t>
        </is>
      </c>
      <c r="L175" t="inlineStr">
        <is>
          <t>Leipzig-Berlin, Verlag Chemie g.m.b.h., 1924-</t>
        </is>
      </c>
      <c r="M175" t="inlineStr">
        <is>
          <t>1924</t>
        </is>
      </c>
      <c r="N175" t="inlineStr">
        <is>
          <t>8. aufl. Hrsg. von der Deutschen chemischen gesellschaft, bearb. von R.J. Meyer, unter beratender mitwirkung von Franz Peters.</t>
        </is>
      </c>
      <c r="O175" t="inlineStr">
        <is>
          <t>ger</t>
        </is>
      </c>
      <c r="P175" t="inlineStr">
        <is>
          <t xml:space="preserve">xx </t>
        </is>
      </c>
      <c r="R175" t="inlineStr">
        <is>
          <t xml:space="preserve">QD </t>
        </is>
      </c>
      <c r="S175" t="n">
        <v>1</v>
      </c>
      <c r="T175" t="n">
        <v>324</v>
      </c>
      <c r="U175" t="inlineStr">
        <is>
          <t>1998-07-27</t>
        </is>
      </c>
      <c r="V175" t="inlineStr">
        <is>
          <t>1998-07-28</t>
        </is>
      </c>
      <c r="W175" t="inlineStr">
        <is>
          <t>1997-06-02</t>
        </is>
      </c>
      <c r="X175" t="inlineStr">
        <is>
          <t>1998-06-24</t>
        </is>
      </c>
      <c r="Y175" t="n">
        <v>259</v>
      </c>
      <c r="Z175" t="n">
        <v>221</v>
      </c>
      <c r="AA175" t="n">
        <v>223</v>
      </c>
      <c r="AB175" t="n">
        <v>2</v>
      </c>
      <c r="AC175" t="n">
        <v>2</v>
      </c>
      <c r="AD175" t="n">
        <v>10</v>
      </c>
      <c r="AE175" t="n">
        <v>10</v>
      </c>
      <c r="AF175" t="n">
        <v>2</v>
      </c>
      <c r="AG175" t="n">
        <v>2</v>
      </c>
      <c r="AH175" t="n">
        <v>2</v>
      </c>
      <c r="AI175" t="n">
        <v>2</v>
      </c>
      <c r="AJ175" t="n">
        <v>8</v>
      </c>
      <c r="AK175" t="n">
        <v>8</v>
      </c>
      <c r="AL175" t="n">
        <v>1</v>
      </c>
      <c r="AM175" t="n">
        <v>1</v>
      </c>
      <c r="AN175" t="n">
        <v>0</v>
      </c>
      <c r="AO175" t="n">
        <v>0</v>
      </c>
      <c r="AP175" t="inlineStr">
        <is>
          <t>No</t>
        </is>
      </c>
      <c r="AQ175" t="inlineStr">
        <is>
          <t>Yes</t>
        </is>
      </c>
      <c r="AR175">
        <f>HYPERLINK("http://catalog.hathitrust.org/Record/009932175","HathiTrust Record")</f>
        <v/>
      </c>
      <c r="AS175">
        <f>HYPERLINK("https://creighton-primo.hosted.exlibrisgroup.com/primo-explore/search?tab=default_tab&amp;search_scope=EVERYTHING&amp;vid=01CRU&amp;lang=en_US&amp;offset=0&amp;query=any,contains,991005356889702656","Catalog Record")</f>
        <v/>
      </c>
      <c r="AT175">
        <f>HYPERLINK("http://www.worldcat.org/oclc/802031","WorldCat Record")</f>
        <v/>
      </c>
      <c r="AU175" t="inlineStr">
        <is>
          <t>4924721893:ger</t>
        </is>
      </c>
      <c r="AV175" t="inlineStr">
        <is>
          <t>802031</t>
        </is>
      </c>
      <c r="AW175" t="inlineStr">
        <is>
          <t>991005356889702656</t>
        </is>
      </c>
      <c r="AX175" t="inlineStr">
        <is>
          <t>991005356889702656</t>
        </is>
      </c>
      <c r="AY175" t="inlineStr">
        <is>
          <t>2270552310002656</t>
        </is>
      </c>
      <c r="AZ175" t="inlineStr">
        <is>
          <t>BOOK</t>
        </is>
      </c>
      <c r="BC175" t="inlineStr">
        <is>
          <t>32285002779121</t>
        </is>
      </c>
      <c r="BD175" t="inlineStr">
        <is>
          <t>893527416</t>
        </is>
      </c>
    </row>
    <row r="176">
      <c r="A176" t="inlineStr">
        <is>
          <t>No</t>
        </is>
      </c>
      <c r="B176" t="inlineStr">
        <is>
          <t>QD151 .G52 NO. 3 SECT. 2</t>
        </is>
      </c>
      <c r="C176" t="inlineStr">
        <is>
          <t>0                      QD 0151000G  52                                                      NO. 3 SECT. 2</t>
        </is>
      </c>
      <c r="D176" t="inlineStr">
        <is>
          <t>Gmelins Handbuch der anorganischen chemie.</t>
        </is>
      </c>
      <c r="E176" t="inlineStr">
        <is>
          <t>NO. 3 SECT. 2*</t>
        </is>
      </c>
      <c r="F176" t="inlineStr">
        <is>
          <t>Yes</t>
        </is>
      </c>
      <c r="G176" t="inlineStr">
        <is>
          <t>1</t>
        </is>
      </c>
      <c r="H176" t="inlineStr">
        <is>
          <t>No</t>
        </is>
      </c>
      <c r="I176" t="inlineStr">
        <is>
          <t>No</t>
        </is>
      </c>
      <c r="J176" t="inlineStr">
        <is>
          <t>0</t>
        </is>
      </c>
      <c r="L176" t="inlineStr">
        <is>
          <t>Leipzig-Berlin, Verlag Chemie g.m.b.h., 1924-</t>
        </is>
      </c>
      <c r="M176" t="inlineStr">
        <is>
          <t>1924</t>
        </is>
      </c>
      <c r="N176" t="inlineStr">
        <is>
          <t>8. aufl. Hrsg. von der Deutschen chemischen gesellschaft, bearb. von R.J. Meyer, unter beratender mitwirkung von Franz Peters.</t>
        </is>
      </c>
      <c r="O176" t="inlineStr">
        <is>
          <t>ger</t>
        </is>
      </c>
      <c r="P176" t="inlineStr">
        <is>
          <t xml:space="preserve">xx </t>
        </is>
      </c>
      <c r="R176" t="inlineStr">
        <is>
          <t xml:space="preserve">QD </t>
        </is>
      </c>
      <c r="S176" t="n">
        <v>1</v>
      </c>
      <c r="T176" t="n">
        <v>324</v>
      </c>
      <c r="U176" t="inlineStr">
        <is>
          <t>1998-07-27</t>
        </is>
      </c>
      <c r="V176" t="inlineStr">
        <is>
          <t>1998-07-28</t>
        </is>
      </c>
      <c r="W176" t="inlineStr">
        <is>
          <t>1997-06-02</t>
        </is>
      </c>
      <c r="X176" t="inlineStr">
        <is>
          <t>1998-06-24</t>
        </is>
      </c>
      <c r="Y176" t="n">
        <v>259</v>
      </c>
      <c r="Z176" t="n">
        <v>221</v>
      </c>
      <c r="AA176" t="n">
        <v>223</v>
      </c>
      <c r="AB176" t="n">
        <v>2</v>
      </c>
      <c r="AC176" t="n">
        <v>2</v>
      </c>
      <c r="AD176" t="n">
        <v>10</v>
      </c>
      <c r="AE176" t="n">
        <v>10</v>
      </c>
      <c r="AF176" t="n">
        <v>2</v>
      </c>
      <c r="AG176" t="n">
        <v>2</v>
      </c>
      <c r="AH176" t="n">
        <v>2</v>
      </c>
      <c r="AI176" t="n">
        <v>2</v>
      </c>
      <c r="AJ176" t="n">
        <v>8</v>
      </c>
      <c r="AK176" t="n">
        <v>8</v>
      </c>
      <c r="AL176" t="n">
        <v>1</v>
      </c>
      <c r="AM176" t="n">
        <v>1</v>
      </c>
      <c r="AN176" t="n">
        <v>0</v>
      </c>
      <c r="AO176" t="n">
        <v>0</v>
      </c>
      <c r="AP176" t="inlineStr">
        <is>
          <t>No</t>
        </is>
      </c>
      <c r="AQ176" t="inlineStr">
        <is>
          <t>Yes</t>
        </is>
      </c>
      <c r="AR176">
        <f>HYPERLINK("http://catalog.hathitrust.org/Record/009932175","HathiTrust Record")</f>
        <v/>
      </c>
      <c r="AS176">
        <f>HYPERLINK("https://creighton-primo.hosted.exlibrisgroup.com/primo-explore/search?tab=default_tab&amp;search_scope=EVERYTHING&amp;vid=01CRU&amp;lang=en_US&amp;offset=0&amp;query=any,contains,991005356889702656","Catalog Record")</f>
        <v/>
      </c>
      <c r="AT176">
        <f>HYPERLINK("http://www.worldcat.org/oclc/802031","WorldCat Record")</f>
        <v/>
      </c>
      <c r="AU176" t="inlineStr">
        <is>
          <t>4924721893:ger</t>
        </is>
      </c>
      <c r="AV176" t="inlineStr">
        <is>
          <t>802031</t>
        </is>
      </c>
      <c r="AW176" t="inlineStr">
        <is>
          <t>991005356889702656</t>
        </is>
      </c>
      <c r="AX176" t="inlineStr">
        <is>
          <t>991005356889702656</t>
        </is>
      </c>
      <c r="AY176" t="inlineStr">
        <is>
          <t>2270552310002656</t>
        </is>
      </c>
      <c r="AZ176" t="inlineStr">
        <is>
          <t>BOOK</t>
        </is>
      </c>
      <c r="BC176" t="inlineStr">
        <is>
          <t>32285002779139</t>
        </is>
      </c>
      <c r="BD176" t="inlineStr">
        <is>
          <t>893527415</t>
        </is>
      </c>
    </row>
    <row r="177">
      <c r="A177" t="inlineStr">
        <is>
          <t>No</t>
        </is>
      </c>
      <c r="B177" t="inlineStr">
        <is>
          <t>QD151 .G52 NO. 3 SECT. 3</t>
        </is>
      </c>
      <c r="C177" t="inlineStr">
        <is>
          <t>0                      QD 0151000G  52                                                      NO. 3 SECT. 3</t>
        </is>
      </c>
      <c r="D177" t="inlineStr">
        <is>
          <t>Gmelins Handbuch der anorganischen chemie.</t>
        </is>
      </c>
      <c r="E177" t="inlineStr">
        <is>
          <t>NO. 3 SECT. 3*</t>
        </is>
      </c>
      <c r="F177" t="inlineStr">
        <is>
          <t>Yes</t>
        </is>
      </c>
      <c r="G177" t="inlineStr">
        <is>
          <t>1</t>
        </is>
      </c>
      <c r="H177" t="inlineStr">
        <is>
          <t>No</t>
        </is>
      </c>
      <c r="I177" t="inlineStr">
        <is>
          <t>No</t>
        </is>
      </c>
      <c r="J177" t="inlineStr">
        <is>
          <t>0</t>
        </is>
      </c>
      <c r="L177" t="inlineStr">
        <is>
          <t>Leipzig-Berlin, Verlag Chemie g.m.b.h., 1924-</t>
        </is>
      </c>
      <c r="M177" t="inlineStr">
        <is>
          <t>1924</t>
        </is>
      </c>
      <c r="N177" t="inlineStr">
        <is>
          <t>8. aufl. Hrsg. von der Deutschen chemischen gesellschaft, bearb. von R.J. Meyer, unter beratender mitwirkung von Franz Peters.</t>
        </is>
      </c>
      <c r="O177" t="inlineStr">
        <is>
          <t>ger</t>
        </is>
      </c>
      <c r="P177" t="inlineStr">
        <is>
          <t xml:space="preserve">xx </t>
        </is>
      </c>
      <c r="R177" t="inlineStr">
        <is>
          <t xml:space="preserve">QD </t>
        </is>
      </c>
      <c r="S177" t="n">
        <v>1</v>
      </c>
      <c r="T177" t="n">
        <v>324</v>
      </c>
      <c r="U177" t="inlineStr">
        <is>
          <t>1998-07-27</t>
        </is>
      </c>
      <c r="V177" t="inlineStr">
        <is>
          <t>1998-07-28</t>
        </is>
      </c>
      <c r="W177" t="inlineStr">
        <is>
          <t>1997-06-02</t>
        </is>
      </c>
      <c r="X177" t="inlineStr">
        <is>
          <t>1998-06-24</t>
        </is>
      </c>
      <c r="Y177" t="n">
        <v>259</v>
      </c>
      <c r="Z177" t="n">
        <v>221</v>
      </c>
      <c r="AA177" t="n">
        <v>223</v>
      </c>
      <c r="AB177" t="n">
        <v>2</v>
      </c>
      <c r="AC177" t="n">
        <v>2</v>
      </c>
      <c r="AD177" t="n">
        <v>10</v>
      </c>
      <c r="AE177" t="n">
        <v>10</v>
      </c>
      <c r="AF177" t="n">
        <v>2</v>
      </c>
      <c r="AG177" t="n">
        <v>2</v>
      </c>
      <c r="AH177" t="n">
        <v>2</v>
      </c>
      <c r="AI177" t="n">
        <v>2</v>
      </c>
      <c r="AJ177" t="n">
        <v>8</v>
      </c>
      <c r="AK177" t="n">
        <v>8</v>
      </c>
      <c r="AL177" t="n">
        <v>1</v>
      </c>
      <c r="AM177" t="n">
        <v>1</v>
      </c>
      <c r="AN177" t="n">
        <v>0</v>
      </c>
      <c r="AO177" t="n">
        <v>0</v>
      </c>
      <c r="AP177" t="inlineStr">
        <is>
          <t>No</t>
        </is>
      </c>
      <c r="AQ177" t="inlineStr">
        <is>
          <t>Yes</t>
        </is>
      </c>
      <c r="AR177">
        <f>HYPERLINK("http://catalog.hathitrust.org/Record/009932175","HathiTrust Record")</f>
        <v/>
      </c>
      <c r="AS177">
        <f>HYPERLINK("https://creighton-primo.hosted.exlibrisgroup.com/primo-explore/search?tab=default_tab&amp;search_scope=EVERYTHING&amp;vid=01CRU&amp;lang=en_US&amp;offset=0&amp;query=any,contains,991005356889702656","Catalog Record")</f>
        <v/>
      </c>
      <c r="AT177">
        <f>HYPERLINK("http://www.worldcat.org/oclc/802031","WorldCat Record")</f>
        <v/>
      </c>
      <c r="AU177" t="inlineStr">
        <is>
          <t>4924721893:ger</t>
        </is>
      </c>
      <c r="AV177" t="inlineStr">
        <is>
          <t>802031</t>
        </is>
      </c>
      <c r="AW177" t="inlineStr">
        <is>
          <t>991005356889702656</t>
        </is>
      </c>
      <c r="AX177" t="inlineStr">
        <is>
          <t>991005356889702656</t>
        </is>
      </c>
      <c r="AY177" t="inlineStr">
        <is>
          <t>2270552310002656</t>
        </is>
      </c>
      <c r="AZ177" t="inlineStr">
        <is>
          <t>BOOK</t>
        </is>
      </c>
      <c r="BC177" t="inlineStr">
        <is>
          <t>32285002779147</t>
        </is>
      </c>
      <c r="BD177" t="inlineStr">
        <is>
          <t>893514521</t>
        </is>
      </c>
    </row>
    <row r="178">
      <c r="A178" t="inlineStr">
        <is>
          <t>No</t>
        </is>
      </c>
      <c r="B178" t="inlineStr">
        <is>
          <t>QD151 .G52 NO. 3 SECT. 4</t>
        </is>
      </c>
      <c r="C178" t="inlineStr">
        <is>
          <t>0                      QD 0151000G  52                                                      NO. 3 SECT. 4</t>
        </is>
      </c>
      <c r="D178" t="inlineStr">
        <is>
          <t>Gmelins Handbuch der anorganischen chemie.</t>
        </is>
      </c>
      <c r="E178" t="inlineStr">
        <is>
          <t>NO. 3 SECT. 4*</t>
        </is>
      </c>
      <c r="F178" t="inlineStr">
        <is>
          <t>Yes</t>
        </is>
      </c>
      <c r="G178" t="inlineStr">
        <is>
          <t>1</t>
        </is>
      </c>
      <c r="H178" t="inlineStr">
        <is>
          <t>No</t>
        </is>
      </c>
      <c r="I178" t="inlineStr">
        <is>
          <t>No</t>
        </is>
      </c>
      <c r="J178" t="inlineStr">
        <is>
          <t>0</t>
        </is>
      </c>
      <c r="L178" t="inlineStr">
        <is>
          <t>Leipzig-Berlin, Verlag Chemie g.m.b.h., 1924-</t>
        </is>
      </c>
      <c r="M178" t="inlineStr">
        <is>
          <t>1924</t>
        </is>
      </c>
      <c r="N178" t="inlineStr">
        <is>
          <t>8. aufl. Hrsg. von der Deutschen chemischen gesellschaft, bearb. von R.J. Meyer, unter beratender mitwirkung von Franz Peters.</t>
        </is>
      </c>
      <c r="O178" t="inlineStr">
        <is>
          <t>ger</t>
        </is>
      </c>
      <c r="P178" t="inlineStr">
        <is>
          <t xml:space="preserve">xx </t>
        </is>
      </c>
      <c r="R178" t="inlineStr">
        <is>
          <t xml:space="preserve">QD </t>
        </is>
      </c>
      <c r="S178" t="n">
        <v>1</v>
      </c>
      <c r="T178" t="n">
        <v>324</v>
      </c>
      <c r="U178" t="inlineStr">
        <is>
          <t>1998-07-27</t>
        </is>
      </c>
      <c r="V178" t="inlineStr">
        <is>
          <t>1998-07-28</t>
        </is>
      </c>
      <c r="W178" t="inlineStr">
        <is>
          <t>1997-06-02</t>
        </is>
      </c>
      <c r="X178" t="inlineStr">
        <is>
          <t>1998-06-24</t>
        </is>
      </c>
      <c r="Y178" t="n">
        <v>259</v>
      </c>
      <c r="Z178" t="n">
        <v>221</v>
      </c>
      <c r="AA178" t="n">
        <v>223</v>
      </c>
      <c r="AB178" t="n">
        <v>2</v>
      </c>
      <c r="AC178" t="n">
        <v>2</v>
      </c>
      <c r="AD178" t="n">
        <v>10</v>
      </c>
      <c r="AE178" t="n">
        <v>10</v>
      </c>
      <c r="AF178" t="n">
        <v>2</v>
      </c>
      <c r="AG178" t="n">
        <v>2</v>
      </c>
      <c r="AH178" t="n">
        <v>2</v>
      </c>
      <c r="AI178" t="n">
        <v>2</v>
      </c>
      <c r="AJ178" t="n">
        <v>8</v>
      </c>
      <c r="AK178" t="n">
        <v>8</v>
      </c>
      <c r="AL178" t="n">
        <v>1</v>
      </c>
      <c r="AM178" t="n">
        <v>1</v>
      </c>
      <c r="AN178" t="n">
        <v>0</v>
      </c>
      <c r="AO178" t="n">
        <v>0</v>
      </c>
      <c r="AP178" t="inlineStr">
        <is>
          <t>No</t>
        </is>
      </c>
      <c r="AQ178" t="inlineStr">
        <is>
          <t>Yes</t>
        </is>
      </c>
      <c r="AR178">
        <f>HYPERLINK("http://catalog.hathitrust.org/Record/009932175","HathiTrust Record")</f>
        <v/>
      </c>
      <c r="AS178">
        <f>HYPERLINK("https://creighton-primo.hosted.exlibrisgroup.com/primo-explore/search?tab=default_tab&amp;search_scope=EVERYTHING&amp;vid=01CRU&amp;lang=en_US&amp;offset=0&amp;query=any,contains,991005356889702656","Catalog Record")</f>
        <v/>
      </c>
      <c r="AT178">
        <f>HYPERLINK("http://www.worldcat.org/oclc/802031","WorldCat Record")</f>
        <v/>
      </c>
      <c r="AU178" t="inlineStr">
        <is>
          <t>4924721893:ger</t>
        </is>
      </c>
      <c r="AV178" t="inlineStr">
        <is>
          <t>802031</t>
        </is>
      </c>
      <c r="AW178" t="inlineStr">
        <is>
          <t>991005356889702656</t>
        </is>
      </c>
      <c r="AX178" t="inlineStr">
        <is>
          <t>991005356889702656</t>
        </is>
      </c>
      <c r="AY178" t="inlineStr">
        <is>
          <t>2270552310002656</t>
        </is>
      </c>
      <c r="AZ178" t="inlineStr">
        <is>
          <t>BOOK</t>
        </is>
      </c>
      <c r="BC178" t="inlineStr">
        <is>
          <t>32285002779154</t>
        </is>
      </c>
      <c r="BD178" t="inlineStr">
        <is>
          <t>893501771</t>
        </is>
      </c>
    </row>
    <row r="179">
      <c r="A179" t="inlineStr">
        <is>
          <t>No</t>
        </is>
      </c>
      <c r="B179" t="inlineStr">
        <is>
          <t>QD151 .G52 NO. 3 SECT. 5</t>
        </is>
      </c>
      <c r="C179" t="inlineStr">
        <is>
          <t>0                      QD 0151000G  52                                                      NO. 3 SECT. 5</t>
        </is>
      </c>
      <c r="D179" t="inlineStr">
        <is>
          <t>Gmelins Handbuch der anorganischen chemie.</t>
        </is>
      </c>
      <c r="E179" t="inlineStr">
        <is>
          <t>NO. 3 SECT. 5*</t>
        </is>
      </c>
      <c r="F179" t="inlineStr">
        <is>
          <t>Yes</t>
        </is>
      </c>
      <c r="G179" t="inlineStr">
        <is>
          <t>1</t>
        </is>
      </c>
      <c r="H179" t="inlineStr">
        <is>
          <t>No</t>
        </is>
      </c>
      <c r="I179" t="inlineStr">
        <is>
          <t>No</t>
        </is>
      </c>
      <c r="J179" t="inlineStr">
        <is>
          <t>0</t>
        </is>
      </c>
      <c r="L179" t="inlineStr">
        <is>
          <t>Leipzig-Berlin, Verlag Chemie g.m.b.h., 1924-</t>
        </is>
      </c>
      <c r="M179" t="inlineStr">
        <is>
          <t>1924</t>
        </is>
      </c>
      <c r="N179" t="inlineStr">
        <is>
          <t>8. aufl. Hrsg. von der Deutschen chemischen gesellschaft, bearb. von R.J. Meyer, unter beratender mitwirkung von Franz Peters.</t>
        </is>
      </c>
      <c r="O179" t="inlineStr">
        <is>
          <t>ger</t>
        </is>
      </c>
      <c r="P179" t="inlineStr">
        <is>
          <t xml:space="preserve">xx </t>
        </is>
      </c>
      <c r="R179" t="inlineStr">
        <is>
          <t xml:space="preserve">QD </t>
        </is>
      </c>
      <c r="S179" t="n">
        <v>1</v>
      </c>
      <c r="T179" t="n">
        <v>324</v>
      </c>
      <c r="U179" t="inlineStr">
        <is>
          <t>1998-07-27</t>
        </is>
      </c>
      <c r="V179" t="inlineStr">
        <is>
          <t>1998-07-28</t>
        </is>
      </c>
      <c r="W179" t="inlineStr">
        <is>
          <t>1997-06-02</t>
        </is>
      </c>
      <c r="X179" t="inlineStr">
        <is>
          <t>1998-06-24</t>
        </is>
      </c>
      <c r="Y179" t="n">
        <v>259</v>
      </c>
      <c r="Z179" t="n">
        <v>221</v>
      </c>
      <c r="AA179" t="n">
        <v>223</v>
      </c>
      <c r="AB179" t="n">
        <v>2</v>
      </c>
      <c r="AC179" t="n">
        <v>2</v>
      </c>
      <c r="AD179" t="n">
        <v>10</v>
      </c>
      <c r="AE179" t="n">
        <v>10</v>
      </c>
      <c r="AF179" t="n">
        <v>2</v>
      </c>
      <c r="AG179" t="n">
        <v>2</v>
      </c>
      <c r="AH179" t="n">
        <v>2</v>
      </c>
      <c r="AI179" t="n">
        <v>2</v>
      </c>
      <c r="AJ179" t="n">
        <v>8</v>
      </c>
      <c r="AK179" t="n">
        <v>8</v>
      </c>
      <c r="AL179" t="n">
        <v>1</v>
      </c>
      <c r="AM179" t="n">
        <v>1</v>
      </c>
      <c r="AN179" t="n">
        <v>0</v>
      </c>
      <c r="AO179" t="n">
        <v>0</v>
      </c>
      <c r="AP179" t="inlineStr">
        <is>
          <t>No</t>
        </is>
      </c>
      <c r="AQ179" t="inlineStr">
        <is>
          <t>Yes</t>
        </is>
      </c>
      <c r="AR179">
        <f>HYPERLINK("http://catalog.hathitrust.org/Record/009932175","HathiTrust Record")</f>
        <v/>
      </c>
      <c r="AS179">
        <f>HYPERLINK("https://creighton-primo.hosted.exlibrisgroup.com/primo-explore/search?tab=default_tab&amp;search_scope=EVERYTHING&amp;vid=01CRU&amp;lang=en_US&amp;offset=0&amp;query=any,contains,991005356889702656","Catalog Record")</f>
        <v/>
      </c>
      <c r="AT179">
        <f>HYPERLINK("http://www.worldcat.org/oclc/802031","WorldCat Record")</f>
        <v/>
      </c>
      <c r="AU179" t="inlineStr">
        <is>
          <t>4924721893:ger</t>
        </is>
      </c>
      <c r="AV179" t="inlineStr">
        <is>
          <t>802031</t>
        </is>
      </c>
      <c r="AW179" t="inlineStr">
        <is>
          <t>991005356889702656</t>
        </is>
      </c>
      <c r="AX179" t="inlineStr">
        <is>
          <t>991005356889702656</t>
        </is>
      </c>
      <c r="AY179" t="inlineStr">
        <is>
          <t>2270552310002656</t>
        </is>
      </c>
      <c r="AZ179" t="inlineStr">
        <is>
          <t>BOOK</t>
        </is>
      </c>
      <c r="BC179" t="inlineStr">
        <is>
          <t>32285002779162</t>
        </is>
      </c>
      <c r="BD179" t="inlineStr">
        <is>
          <t>893508056</t>
        </is>
      </c>
    </row>
    <row r="180">
      <c r="A180" t="inlineStr">
        <is>
          <t>No</t>
        </is>
      </c>
      <c r="B180" t="inlineStr">
        <is>
          <t>QD151 .G52 NO. 3 SECT. 6</t>
        </is>
      </c>
      <c r="C180" t="inlineStr">
        <is>
          <t>0                      QD 0151000G  52                                                      NO. 3 SECT. 6</t>
        </is>
      </c>
      <c r="D180" t="inlineStr">
        <is>
          <t>Gmelins Handbuch der anorganischen chemie.</t>
        </is>
      </c>
      <c r="E180" t="inlineStr">
        <is>
          <t>NO. 3 SECT. 6*</t>
        </is>
      </c>
      <c r="F180" t="inlineStr">
        <is>
          <t>Yes</t>
        </is>
      </c>
      <c r="G180" t="inlineStr">
        <is>
          <t>1</t>
        </is>
      </c>
      <c r="H180" t="inlineStr">
        <is>
          <t>No</t>
        </is>
      </c>
      <c r="I180" t="inlineStr">
        <is>
          <t>No</t>
        </is>
      </c>
      <c r="J180" t="inlineStr">
        <is>
          <t>0</t>
        </is>
      </c>
      <c r="L180" t="inlineStr">
        <is>
          <t>Leipzig-Berlin, Verlag Chemie g.m.b.h., 1924-</t>
        </is>
      </c>
      <c r="M180" t="inlineStr">
        <is>
          <t>1924</t>
        </is>
      </c>
      <c r="N180" t="inlineStr">
        <is>
          <t>8. aufl. Hrsg. von der Deutschen chemischen gesellschaft, bearb. von R.J. Meyer, unter beratender mitwirkung von Franz Peters.</t>
        </is>
      </c>
      <c r="O180" t="inlineStr">
        <is>
          <t>ger</t>
        </is>
      </c>
      <c r="P180" t="inlineStr">
        <is>
          <t xml:space="preserve">xx </t>
        </is>
      </c>
      <c r="R180" t="inlineStr">
        <is>
          <t xml:space="preserve">QD </t>
        </is>
      </c>
      <c r="S180" t="n">
        <v>1</v>
      </c>
      <c r="T180" t="n">
        <v>324</v>
      </c>
      <c r="U180" t="inlineStr">
        <is>
          <t>1998-07-27</t>
        </is>
      </c>
      <c r="V180" t="inlineStr">
        <is>
          <t>1998-07-28</t>
        </is>
      </c>
      <c r="W180" t="inlineStr">
        <is>
          <t>1997-06-02</t>
        </is>
      </c>
      <c r="X180" t="inlineStr">
        <is>
          <t>1998-06-24</t>
        </is>
      </c>
      <c r="Y180" t="n">
        <v>259</v>
      </c>
      <c r="Z180" t="n">
        <v>221</v>
      </c>
      <c r="AA180" t="n">
        <v>223</v>
      </c>
      <c r="AB180" t="n">
        <v>2</v>
      </c>
      <c r="AC180" t="n">
        <v>2</v>
      </c>
      <c r="AD180" t="n">
        <v>10</v>
      </c>
      <c r="AE180" t="n">
        <v>10</v>
      </c>
      <c r="AF180" t="n">
        <v>2</v>
      </c>
      <c r="AG180" t="n">
        <v>2</v>
      </c>
      <c r="AH180" t="n">
        <v>2</v>
      </c>
      <c r="AI180" t="n">
        <v>2</v>
      </c>
      <c r="AJ180" t="n">
        <v>8</v>
      </c>
      <c r="AK180" t="n">
        <v>8</v>
      </c>
      <c r="AL180" t="n">
        <v>1</v>
      </c>
      <c r="AM180" t="n">
        <v>1</v>
      </c>
      <c r="AN180" t="n">
        <v>0</v>
      </c>
      <c r="AO180" t="n">
        <v>0</v>
      </c>
      <c r="AP180" t="inlineStr">
        <is>
          <t>No</t>
        </is>
      </c>
      <c r="AQ180" t="inlineStr">
        <is>
          <t>Yes</t>
        </is>
      </c>
      <c r="AR180">
        <f>HYPERLINK("http://catalog.hathitrust.org/Record/009932175","HathiTrust Record")</f>
        <v/>
      </c>
      <c r="AS180">
        <f>HYPERLINK("https://creighton-primo.hosted.exlibrisgroup.com/primo-explore/search?tab=default_tab&amp;search_scope=EVERYTHING&amp;vid=01CRU&amp;lang=en_US&amp;offset=0&amp;query=any,contains,991005356889702656","Catalog Record")</f>
        <v/>
      </c>
      <c r="AT180">
        <f>HYPERLINK("http://www.worldcat.org/oclc/802031","WorldCat Record")</f>
        <v/>
      </c>
      <c r="AU180" t="inlineStr">
        <is>
          <t>4924721893:ger</t>
        </is>
      </c>
      <c r="AV180" t="inlineStr">
        <is>
          <t>802031</t>
        </is>
      </c>
      <c r="AW180" t="inlineStr">
        <is>
          <t>991005356889702656</t>
        </is>
      </c>
      <c r="AX180" t="inlineStr">
        <is>
          <t>991005356889702656</t>
        </is>
      </c>
      <c r="AY180" t="inlineStr">
        <is>
          <t>2270552310002656</t>
        </is>
      </c>
      <c r="AZ180" t="inlineStr">
        <is>
          <t>BOOK</t>
        </is>
      </c>
      <c r="BC180" t="inlineStr">
        <is>
          <t>32285002779170</t>
        </is>
      </c>
      <c r="BD180" t="inlineStr">
        <is>
          <t>893508055</t>
        </is>
      </c>
    </row>
    <row r="181">
      <c r="A181" t="inlineStr">
        <is>
          <t>No</t>
        </is>
      </c>
      <c r="B181" t="inlineStr">
        <is>
          <t>QD151 .G52 NO. 3 SECT. 7</t>
        </is>
      </c>
      <c r="C181" t="inlineStr">
        <is>
          <t>0                      QD 0151000G  52                                                      NO. 3 SECT. 7</t>
        </is>
      </c>
      <c r="D181" t="inlineStr">
        <is>
          <t>Gmelins Handbuch der anorganischen chemie.</t>
        </is>
      </c>
      <c r="E181" t="inlineStr">
        <is>
          <t>NO. 3 SECT. 7*</t>
        </is>
      </c>
      <c r="F181" t="inlineStr">
        <is>
          <t>Yes</t>
        </is>
      </c>
      <c r="G181" t="inlineStr">
        <is>
          <t>1</t>
        </is>
      </c>
      <c r="H181" t="inlineStr">
        <is>
          <t>No</t>
        </is>
      </c>
      <c r="I181" t="inlineStr">
        <is>
          <t>No</t>
        </is>
      </c>
      <c r="J181" t="inlineStr">
        <is>
          <t>0</t>
        </is>
      </c>
      <c r="L181" t="inlineStr">
        <is>
          <t>Leipzig-Berlin, Verlag Chemie g.m.b.h., 1924-</t>
        </is>
      </c>
      <c r="M181" t="inlineStr">
        <is>
          <t>1924</t>
        </is>
      </c>
      <c r="N181" t="inlineStr">
        <is>
          <t>8. aufl. Hrsg. von der Deutschen chemischen gesellschaft, bearb. von R.J. Meyer, unter beratender mitwirkung von Franz Peters.</t>
        </is>
      </c>
      <c r="O181" t="inlineStr">
        <is>
          <t>ger</t>
        </is>
      </c>
      <c r="P181" t="inlineStr">
        <is>
          <t xml:space="preserve">xx </t>
        </is>
      </c>
      <c r="R181" t="inlineStr">
        <is>
          <t xml:space="preserve">QD </t>
        </is>
      </c>
      <c r="S181" t="n">
        <v>1</v>
      </c>
      <c r="T181" t="n">
        <v>324</v>
      </c>
      <c r="U181" t="inlineStr">
        <is>
          <t>1998-07-27</t>
        </is>
      </c>
      <c r="V181" t="inlineStr">
        <is>
          <t>1998-07-28</t>
        </is>
      </c>
      <c r="W181" t="inlineStr">
        <is>
          <t>1997-06-02</t>
        </is>
      </c>
      <c r="X181" t="inlineStr">
        <is>
          <t>1998-06-24</t>
        </is>
      </c>
      <c r="Y181" t="n">
        <v>259</v>
      </c>
      <c r="Z181" t="n">
        <v>221</v>
      </c>
      <c r="AA181" t="n">
        <v>223</v>
      </c>
      <c r="AB181" t="n">
        <v>2</v>
      </c>
      <c r="AC181" t="n">
        <v>2</v>
      </c>
      <c r="AD181" t="n">
        <v>10</v>
      </c>
      <c r="AE181" t="n">
        <v>10</v>
      </c>
      <c r="AF181" t="n">
        <v>2</v>
      </c>
      <c r="AG181" t="n">
        <v>2</v>
      </c>
      <c r="AH181" t="n">
        <v>2</v>
      </c>
      <c r="AI181" t="n">
        <v>2</v>
      </c>
      <c r="AJ181" t="n">
        <v>8</v>
      </c>
      <c r="AK181" t="n">
        <v>8</v>
      </c>
      <c r="AL181" t="n">
        <v>1</v>
      </c>
      <c r="AM181" t="n">
        <v>1</v>
      </c>
      <c r="AN181" t="n">
        <v>0</v>
      </c>
      <c r="AO181" t="n">
        <v>0</v>
      </c>
      <c r="AP181" t="inlineStr">
        <is>
          <t>No</t>
        </is>
      </c>
      <c r="AQ181" t="inlineStr">
        <is>
          <t>Yes</t>
        </is>
      </c>
      <c r="AR181">
        <f>HYPERLINK("http://catalog.hathitrust.org/Record/009932175","HathiTrust Record")</f>
        <v/>
      </c>
      <c r="AS181">
        <f>HYPERLINK("https://creighton-primo.hosted.exlibrisgroup.com/primo-explore/search?tab=default_tab&amp;search_scope=EVERYTHING&amp;vid=01CRU&amp;lang=en_US&amp;offset=0&amp;query=any,contains,991005356889702656","Catalog Record")</f>
        <v/>
      </c>
      <c r="AT181">
        <f>HYPERLINK("http://www.worldcat.org/oclc/802031","WorldCat Record")</f>
        <v/>
      </c>
      <c r="AU181" t="inlineStr">
        <is>
          <t>4924721893:ger</t>
        </is>
      </c>
      <c r="AV181" t="inlineStr">
        <is>
          <t>802031</t>
        </is>
      </c>
      <c r="AW181" t="inlineStr">
        <is>
          <t>991005356889702656</t>
        </is>
      </c>
      <c r="AX181" t="inlineStr">
        <is>
          <t>991005356889702656</t>
        </is>
      </c>
      <c r="AY181" t="inlineStr">
        <is>
          <t>2270552310002656</t>
        </is>
      </c>
      <c r="AZ181" t="inlineStr">
        <is>
          <t>BOOK</t>
        </is>
      </c>
      <c r="BC181" t="inlineStr">
        <is>
          <t>32285002779188</t>
        </is>
      </c>
      <c r="BD181" t="inlineStr">
        <is>
          <t>893508054</t>
        </is>
      </c>
    </row>
    <row r="182">
      <c r="A182" t="inlineStr">
        <is>
          <t>No</t>
        </is>
      </c>
      <c r="B182" t="inlineStr">
        <is>
          <t>QD151 .G52 NO. 3 SECT. 8</t>
        </is>
      </c>
      <c r="C182" t="inlineStr">
        <is>
          <t>0                      QD 0151000G  52                                                      NO. 3 SECT. 8</t>
        </is>
      </c>
      <c r="D182" t="inlineStr">
        <is>
          <t>Gmelins Handbuch der anorganischen chemie.</t>
        </is>
      </c>
      <c r="E182" t="inlineStr">
        <is>
          <t>NO. 3 SECT. 8*</t>
        </is>
      </c>
      <c r="F182" t="inlineStr">
        <is>
          <t>Yes</t>
        </is>
      </c>
      <c r="G182" t="inlineStr">
        <is>
          <t>1</t>
        </is>
      </c>
      <c r="H182" t="inlineStr">
        <is>
          <t>No</t>
        </is>
      </c>
      <c r="I182" t="inlineStr">
        <is>
          <t>No</t>
        </is>
      </c>
      <c r="J182" t="inlineStr">
        <is>
          <t>0</t>
        </is>
      </c>
      <c r="L182" t="inlineStr">
        <is>
          <t>Leipzig-Berlin, Verlag Chemie g.m.b.h., 1924-</t>
        </is>
      </c>
      <c r="M182" t="inlineStr">
        <is>
          <t>1924</t>
        </is>
      </c>
      <c r="N182" t="inlineStr">
        <is>
          <t>8. aufl. Hrsg. von der Deutschen chemischen gesellschaft, bearb. von R.J. Meyer, unter beratender mitwirkung von Franz Peters.</t>
        </is>
      </c>
      <c r="O182" t="inlineStr">
        <is>
          <t>ger</t>
        </is>
      </c>
      <c r="P182" t="inlineStr">
        <is>
          <t xml:space="preserve">xx </t>
        </is>
      </c>
      <c r="R182" t="inlineStr">
        <is>
          <t xml:space="preserve">QD </t>
        </is>
      </c>
      <c r="S182" t="n">
        <v>1</v>
      </c>
      <c r="T182" t="n">
        <v>324</v>
      </c>
      <c r="U182" t="inlineStr">
        <is>
          <t>1998-07-27</t>
        </is>
      </c>
      <c r="V182" t="inlineStr">
        <is>
          <t>1998-07-28</t>
        </is>
      </c>
      <c r="W182" t="inlineStr">
        <is>
          <t>1997-06-02</t>
        </is>
      </c>
      <c r="X182" t="inlineStr">
        <is>
          <t>1998-06-24</t>
        </is>
      </c>
      <c r="Y182" t="n">
        <v>259</v>
      </c>
      <c r="Z182" t="n">
        <v>221</v>
      </c>
      <c r="AA182" t="n">
        <v>223</v>
      </c>
      <c r="AB182" t="n">
        <v>2</v>
      </c>
      <c r="AC182" t="n">
        <v>2</v>
      </c>
      <c r="AD182" t="n">
        <v>10</v>
      </c>
      <c r="AE182" t="n">
        <v>10</v>
      </c>
      <c r="AF182" t="n">
        <v>2</v>
      </c>
      <c r="AG182" t="n">
        <v>2</v>
      </c>
      <c r="AH182" t="n">
        <v>2</v>
      </c>
      <c r="AI182" t="n">
        <v>2</v>
      </c>
      <c r="AJ182" t="n">
        <v>8</v>
      </c>
      <c r="AK182" t="n">
        <v>8</v>
      </c>
      <c r="AL182" t="n">
        <v>1</v>
      </c>
      <c r="AM182" t="n">
        <v>1</v>
      </c>
      <c r="AN182" t="n">
        <v>0</v>
      </c>
      <c r="AO182" t="n">
        <v>0</v>
      </c>
      <c r="AP182" t="inlineStr">
        <is>
          <t>No</t>
        </is>
      </c>
      <c r="AQ182" t="inlineStr">
        <is>
          <t>Yes</t>
        </is>
      </c>
      <c r="AR182">
        <f>HYPERLINK("http://catalog.hathitrust.org/Record/009932175","HathiTrust Record")</f>
        <v/>
      </c>
      <c r="AS182">
        <f>HYPERLINK("https://creighton-primo.hosted.exlibrisgroup.com/primo-explore/search?tab=default_tab&amp;search_scope=EVERYTHING&amp;vid=01CRU&amp;lang=en_US&amp;offset=0&amp;query=any,contains,991005356889702656","Catalog Record")</f>
        <v/>
      </c>
      <c r="AT182">
        <f>HYPERLINK("http://www.worldcat.org/oclc/802031","WorldCat Record")</f>
        <v/>
      </c>
      <c r="AU182" t="inlineStr">
        <is>
          <t>4924721893:ger</t>
        </is>
      </c>
      <c r="AV182" t="inlineStr">
        <is>
          <t>802031</t>
        </is>
      </c>
      <c r="AW182" t="inlineStr">
        <is>
          <t>991005356889702656</t>
        </is>
      </c>
      <c r="AX182" t="inlineStr">
        <is>
          <t>991005356889702656</t>
        </is>
      </c>
      <c r="AY182" t="inlineStr">
        <is>
          <t>2270552310002656</t>
        </is>
      </c>
      <c r="AZ182" t="inlineStr">
        <is>
          <t>BOOK</t>
        </is>
      </c>
      <c r="BC182" t="inlineStr">
        <is>
          <t>32285002779196</t>
        </is>
      </c>
      <c r="BD182" t="inlineStr">
        <is>
          <t>893533641</t>
        </is>
      </c>
    </row>
    <row r="183">
      <c r="A183" t="inlineStr">
        <is>
          <t>No</t>
        </is>
      </c>
      <c r="B183" t="inlineStr">
        <is>
          <t>QD151 .G52 NO. 30</t>
        </is>
      </c>
      <c r="C183" t="inlineStr">
        <is>
          <t>0                      QD 0151000G  52                                                      NO. 30</t>
        </is>
      </c>
      <c r="D183" t="inlineStr">
        <is>
          <t>Gmelins Handbuch der anorganischen chemie.</t>
        </is>
      </c>
      <c r="E183" t="inlineStr">
        <is>
          <t>NO. 30*</t>
        </is>
      </c>
      <c r="F183" t="inlineStr">
        <is>
          <t>Yes</t>
        </is>
      </c>
      <c r="G183" t="inlineStr">
        <is>
          <t>1</t>
        </is>
      </c>
      <c r="H183" t="inlineStr">
        <is>
          <t>No</t>
        </is>
      </c>
      <c r="I183" t="inlineStr">
        <is>
          <t>No</t>
        </is>
      </c>
      <c r="J183" t="inlineStr">
        <is>
          <t>0</t>
        </is>
      </c>
      <c r="L183" t="inlineStr">
        <is>
          <t>Leipzig-Berlin, Verlag Chemie g.m.b.h., 1924-</t>
        </is>
      </c>
      <c r="M183" t="inlineStr">
        <is>
          <t>1924</t>
        </is>
      </c>
      <c r="N183" t="inlineStr">
        <is>
          <t>8. aufl. Hrsg. von der Deutschen chemischen gesellschaft, bearb. von R.J. Meyer, unter beratender mitwirkung von Franz Peters.</t>
        </is>
      </c>
      <c r="O183" t="inlineStr">
        <is>
          <t>ger</t>
        </is>
      </c>
      <c r="P183" t="inlineStr">
        <is>
          <t xml:space="preserve">xx </t>
        </is>
      </c>
      <c r="R183" t="inlineStr">
        <is>
          <t xml:space="preserve">QD </t>
        </is>
      </c>
      <c r="S183" t="n">
        <v>1</v>
      </c>
      <c r="T183" t="n">
        <v>324</v>
      </c>
      <c r="U183" t="inlineStr">
        <is>
          <t>1998-07-27</t>
        </is>
      </c>
      <c r="V183" t="inlineStr">
        <is>
          <t>1998-07-28</t>
        </is>
      </c>
      <c r="W183" t="inlineStr">
        <is>
          <t>1997-06-03</t>
        </is>
      </c>
      <c r="X183" t="inlineStr">
        <is>
          <t>1998-06-24</t>
        </is>
      </c>
      <c r="Y183" t="n">
        <v>259</v>
      </c>
      <c r="Z183" t="n">
        <v>221</v>
      </c>
      <c r="AA183" t="n">
        <v>223</v>
      </c>
      <c r="AB183" t="n">
        <v>2</v>
      </c>
      <c r="AC183" t="n">
        <v>2</v>
      </c>
      <c r="AD183" t="n">
        <v>10</v>
      </c>
      <c r="AE183" t="n">
        <v>10</v>
      </c>
      <c r="AF183" t="n">
        <v>2</v>
      </c>
      <c r="AG183" t="n">
        <v>2</v>
      </c>
      <c r="AH183" t="n">
        <v>2</v>
      </c>
      <c r="AI183" t="n">
        <v>2</v>
      </c>
      <c r="AJ183" t="n">
        <v>8</v>
      </c>
      <c r="AK183" t="n">
        <v>8</v>
      </c>
      <c r="AL183" t="n">
        <v>1</v>
      </c>
      <c r="AM183" t="n">
        <v>1</v>
      </c>
      <c r="AN183" t="n">
        <v>0</v>
      </c>
      <c r="AO183" t="n">
        <v>0</v>
      </c>
      <c r="AP183" t="inlineStr">
        <is>
          <t>No</t>
        </is>
      </c>
      <c r="AQ183" t="inlineStr">
        <is>
          <t>Yes</t>
        </is>
      </c>
      <c r="AR183">
        <f>HYPERLINK("http://catalog.hathitrust.org/Record/009932175","HathiTrust Record")</f>
        <v/>
      </c>
      <c r="AS183">
        <f>HYPERLINK("https://creighton-primo.hosted.exlibrisgroup.com/primo-explore/search?tab=default_tab&amp;search_scope=EVERYTHING&amp;vid=01CRU&amp;lang=en_US&amp;offset=0&amp;query=any,contains,991005356889702656","Catalog Record")</f>
        <v/>
      </c>
      <c r="AT183">
        <f>HYPERLINK("http://www.worldcat.org/oclc/802031","WorldCat Record")</f>
        <v/>
      </c>
      <c r="AU183" t="inlineStr">
        <is>
          <t>4924721893:ger</t>
        </is>
      </c>
      <c r="AV183" t="inlineStr">
        <is>
          <t>802031</t>
        </is>
      </c>
      <c r="AW183" t="inlineStr">
        <is>
          <t>991005356889702656</t>
        </is>
      </c>
      <c r="AX183" t="inlineStr">
        <is>
          <t>991005356889702656</t>
        </is>
      </c>
      <c r="AY183" t="inlineStr">
        <is>
          <t>2270552310002656</t>
        </is>
      </c>
      <c r="AZ183" t="inlineStr">
        <is>
          <t>BOOK</t>
        </is>
      </c>
      <c r="BC183" t="inlineStr">
        <is>
          <t>32285002790219</t>
        </is>
      </c>
      <c r="BD183" t="inlineStr">
        <is>
          <t>893520923</t>
        </is>
      </c>
    </row>
    <row r="184">
      <c r="A184" t="inlineStr">
        <is>
          <t>No</t>
        </is>
      </c>
      <c r="B184" t="inlineStr">
        <is>
          <t>QD151 .G52 NO. 30 SUPP.</t>
        </is>
      </c>
      <c r="C184" t="inlineStr">
        <is>
          <t>0                      QD 0151000G  52                                                      NO. 30 SUPP.</t>
        </is>
      </c>
      <c r="D184" t="inlineStr">
        <is>
          <t>Gmelins Handbuch der anorganischen chemie.</t>
        </is>
      </c>
      <c r="E184" t="inlineStr">
        <is>
          <t>NO. 30 SUPP.*</t>
        </is>
      </c>
      <c r="F184" t="inlineStr">
        <is>
          <t>Yes</t>
        </is>
      </c>
      <c r="G184" t="inlineStr">
        <is>
          <t>1</t>
        </is>
      </c>
      <c r="H184" t="inlineStr">
        <is>
          <t>No</t>
        </is>
      </c>
      <c r="I184" t="inlineStr">
        <is>
          <t>No</t>
        </is>
      </c>
      <c r="J184" t="inlineStr">
        <is>
          <t>0</t>
        </is>
      </c>
      <c r="L184" t="inlineStr">
        <is>
          <t>Leipzig-Berlin, Verlag Chemie g.m.b.h., 1924-</t>
        </is>
      </c>
      <c r="M184" t="inlineStr">
        <is>
          <t>1924</t>
        </is>
      </c>
      <c r="N184" t="inlineStr">
        <is>
          <t>8. aufl. Hrsg. von der Deutschen chemischen gesellschaft, bearb. von R.J. Meyer, unter beratender mitwirkung von Franz Peters.</t>
        </is>
      </c>
      <c r="O184" t="inlineStr">
        <is>
          <t>ger</t>
        </is>
      </c>
      <c r="P184" t="inlineStr">
        <is>
          <t xml:space="preserve">xx </t>
        </is>
      </c>
      <c r="R184" t="inlineStr">
        <is>
          <t xml:space="preserve">QD </t>
        </is>
      </c>
      <c r="S184" t="n">
        <v>1</v>
      </c>
      <c r="T184" t="n">
        <v>324</v>
      </c>
      <c r="U184" t="inlineStr">
        <is>
          <t>1998-07-27</t>
        </is>
      </c>
      <c r="V184" t="inlineStr">
        <is>
          <t>1998-07-28</t>
        </is>
      </c>
      <c r="W184" t="inlineStr">
        <is>
          <t>1997-06-03</t>
        </is>
      </c>
      <c r="X184" t="inlineStr">
        <is>
          <t>1998-06-24</t>
        </is>
      </c>
      <c r="Y184" t="n">
        <v>259</v>
      </c>
      <c r="Z184" t="n">
        <v>221</v>
      </c>
      <c r="AA184" t="n">
        <v>223</v>
      </c>
      <c r="AB184" t="n">
        <v>2</v>
      </c>
      <c r="AC184" t="n">
        <v>2</v>
      </c>
      <c r="AD184" t="n">
        <v>10</v>
      </c>
      <c r="AE184" t="n">
        <v>10</v>
      </c>
      <c r="AF184" t="n">
        <v>2</v>
      </c>
      <c r="AG184" t="n">
        <v>2</v>
      </c>
      <c r="AH184" t="n">
        <v>2</v>
      </c>
      <c r="AI184" t="n">
        <v>2</v>
      </c>
      <c r="AJ184" t="n">
        <v>8</v>
      </c>
      <c r="AK184" t="n">
        <v>8</v>
      </c>
      <c r="AL184" t="n">
        <v>1</v>
      </c>
      <c r="AM184" t="n">
        <v>1</v>
      </c>
      <c r="AN184" t="n">
        <v>0</v>
      </c>
      <c r="AO184" t="n">
        <v>0</v>
      </c>
      <c r="AP184" t="inlineStr">
        <is>
          <t>No</t>
        </is>
      </c>
      <c r="AQ184" t="inlineStr">
        <is>
          <t>Yes</t>
        </is>
      </c>
      <c r="AR184">
        <f>HYPERLINK("http://catalog.hathitrust.org/Record/009932175","HathiTrust Record")</f>
        <v/>
      </c>
      <c r="AS184">
        <f>HYPERLINK("https://creighton-primo.hosted.exlibrisgroup.com/primo-explore/search?tab=default_tab&amp;search_scope=EVERYTHING&amp;vid=01CRU&amp;lang=en_US&amp;offset=0&amp;query=any,contains,991005356889702656","Catalog Record")</f>
        <v/>
      </c>
      <c r="AT184">
        <f>HYPERLINK("http://www.worldcat.org/oclc/802031","WorldCat Record")</f>
        <v/>
      </c>
      <c r="AU184" t="inlineStr">
        <is>
          <t>4924721893:ger</t>
        </is>
      </c>
      <c r="AV184" t="inlineStr">
        <is>
          <t>802031</t>
        </is>
      </c>
      <c r="AW184" t="inlineStr">
        <is>
          <t>991005356889702656</t>
        </is>
      </c>
      <c r="AX184" t="inlineStr">
        <is>
          <t>991005356889702656</t>
        </is>
      </c>
      <c r="AY184" t="inlineStr">
        <is>
          <t>2270552310002656</t>
        </is>
      </c>
      <c r="AZ184" t="inlineStr">
        <is>
          <t>BOOK</t>
        </is>
      </c>
      <c r="BC184" t="inlineStr">
        <is>
          <t>32285002790227</t>
        </is>
      </c>
      <c r="BD184" t="inlineStr">
        <is>
          <t>893508053</t>
        </is>
      </c>
    </row>
    <row r="185">
      <c r="A185" t="inlineStr">
        <is>
          <t>No</t>
        </is>
      </c>
      <c r="B185" t="inlineStr">
        <is>
          <t>QD151 .G52 NO. 31</t>
        </is>
      </c>
      <c r="C185" t="inlineStr">
        <is>
          <t>0                      QD 0151000G  52                                                      NO. 31</t>
        </is>
      </c>
      <c r="D185" t="inlineStr">
        <is>
          <t>Gmelins Handbuch der anorganischen chemie.</t>
        </is>
      </c>
      <c r="E185" t="inlineStr">
        <is>
          <t>NO. 31*</t>
        </is>
      </c>
      <c r="F185" t="inlineStr">
        <is>
          <t>Yes</t>
        </is>
      </c>
      <c r="G185" t="inlineStr">
        <is>
          <t>1</t>
        </is>
      </c>
      <c r="H185" t="inlineStr">
        <is>
          <t>No</t>
        </is>
      </c>
      <c r="I185" t="inlineStr">
        <is>
          <t>No</t>
        </is>
      </c>
      <c r="J185" t="inlineStr">
        <is>
          <t>0</t>
        </is>
      </c>
      <c r="L185" t="inlineStr">
        <is>
          <t>Leipzig-Berlin, Verlag Chemie g.m.b.h., 1924-</t>
        </is>
      </c>
      <c r="M185" t="inlineStr">
        <is>
          <t>1924</t>
        </is>
      </c>
      <c r="N185" t="inlineStr">
        <is>
          <t>8. aufl. Hrsg. von der Deutschen chemischen gesellschaft, bearb. von R.J. Meyer, unter beratender mitwirkung von Franz Peters.</t>
        </is>
      </c>
      <c r="O185" t="inlineStr">
        <is>
          <t>ger</t>
        </is>
      </c>
      <c r="P185" t="inlineStr">
        <is>
          <t xml:space="preserve">xx </t>
        </is>
      </c>
      <c r="R185" t="inlineStr">
        <is>
          <t xml:space="preserve">QD </t>
        </is>
      </c>
      <c r="S185" t="n">
        <v>1</v>
      </c>
      <c r="T185" t="n">
        <v>324</v>
      </c>
      <c r="U185" t="inlineStr">
        <is>
          <t>1998-07-27</t>
        </is>
      </c>
      <c r="V185" t="inlineStr">
        <is>
          <t>1998-07-28</t>
        </is>
      </c>
      <c r="W185" t="inlineStr">
        <is>
          <t>1997-06-03</t>
        </is>
      </c>
      <c r="X185" t="inlineStr">
        <is>
          <t>1998-06-24</t>
        </is>
      </c>
      <c r="Y185" t="n">
        <v>259</v>
      </c>
      <c r="Z185" t="n">
        <v>221</v>
      </c>
      <c r="AA185" t="n">
        <v>223</v>
      </c>
      <c r="AB185" t="n">
        <v>2</v>
      </c>
      <c r="AC185" t="n">
        <v>2</v>
      </c>
      <c r="AD185" t="n">
        <v>10</v>
      </c>
      <c r="AE185" t="n">
        <v>10</v>
      </c>
      <c r="AF185" t="n">
        <v>2</v>
      </c>
      <c r="AG185" t="n">
        <v>2</v>
      </c>
      <c r="AH185" t="n">
        <v>2</v>
      </c>
      <c r="AI185" t="n">
        <v>2</v>
      </c>
      <c r="AJ185" t="n">
        <v>8</v>
      </c>
      <c r="AK185" t="n">
        <v>8</v>
      </c>
      <c r="AL185" t="n">
        <v>1</v>
      </c>
      <c r="AM185" t="n">
        <v>1</v>
      </c>
      <c r="AN185" t="n">
        <v>0</v>
      </c>
      <c r="AO185" t="n">
        <v>0</v>
      </c>
      <c r="AP185" t="inlineStr">
        <is>
          <t>No</t>
        </is>
      </c>
      <c r="AQ185" t="inlineStr">
        <is>
          <t>Yes</t>
        </is>
      </c>
      <c r="AR185">
        <f>HYPERLINK("http://catalog.hathitrust.org/Record/009932175","HathiTrust Record")</f>
        <v/>
      </c>
      <c r="AS185">
        <f>HYPERLINK("https://creighton-primo.hosted.exlibrisgroup.com/primo-explore/search?tab=default_tab&amp;search_scope=EVERYTHING&amp;vid=01CRU&amp;lang=en_US&amp;offset=0&amp;query=any,contains,991005356889702656","Catalog Record")</f>
        <v/>
      </c>
      <c r="AT185">
        <f>HYPERLINK("http://www.worldcat.org/oclc/802031","WorldCat Record")</f>
        <v/>
      </c>
      <c r="AU185" t="inlineStr">
        <is>
          <t>4924721893:ger</t>
        </is>
      </c>
      <c r="AV185" t="inlineStr">
        <is>
          <t>802031</t>
        </is>
      </c>
      <c r="AW185" t="inlineStr">
        <is>
          <t>991005356889702656</t>
        </is>
      </c>
      <c r="AX185" t="inlineStr">
        <is>
          <t>991005356889702656</t>
        </is>
      </c>
      <c r="AY185" t="inlineStr">
        <is>
          <t>2270552310002656</t>
        </is>
      </c>
      <c r="AZ185" t="inlineStr">
        <is>
          <t>BOOK</t>
        </is>
      </c>
      <c r="BC185" t="inlineStr">
        <is>
          <t>32285002790235</t>
        </is>
      </c>
      <c r="BD185" t="inlineStr">
        <is>
          <t>893527395</t>
        </is>
      </c>
    </row>
    <row r="186">
      <c r="A186" t="inlineStr">
        <is>
          <t>No</t>
        </is>
      </c>
      <c r="B186" t="inlineStr">
        <is>
          <t>QD151 .G52 NO. 31 SUPP. 1</t>
        </is>
      </c>
      <c r="C186" t="inlineStr">
        <is>
          <t>0                      QD 0151000G  52                                                      NO. 31 SUPP. 1</t>
        </is>
      </c>
      <c r="D186" t="inlineStr">
        <is>
          <t>Gmelins Handbuch der anorganischen chemie.</t>
        </is>
      </c>
      <c r="E186" t="inlineStr">
        <is>
          <t>NO. 31 SUPP. 1*</t>
        </is>
      </c>
      <c r="F186" t="inlineStr">
        <is>
          <t>Yes</t>
        </is>
      </c>
      <c r="G186" t="inlineStr">
        <is>
          <t>1</t>
        </is>
      </c>
      <c r="H186" t="inlineStr">
        <is>
          <t>No</t>
        </is>
      </c>
      <c r="I186" t="inlineStr">
        <is>
          <t>No</t>
        </is>
      </c>
      <c r="J186" t="inlineStr">
        <is>
          <t>0</t>
        </is>
      </c>
      <c r="L186" t="inlineStr">
        <is>
          <t>Leipzig-Berlin, Verlag Chemie g.m.b.h., 1924-</t>
        </is>
      </c>
      <c r="M186" t="inlineStr">
        <is>
          <t>1924</t>
        </is>
      </c>
      <c r="N186" t="inlineStr">
        <is>
          <t>8. aufl. Hrsg. von der Deutschen chemischen gesellschaft, bearb. von R.J. Meyer, unter beratender mitwirkung von Franz Peters.</t>
        </is>
      </c>
      <c r="O186" t="inlineStr">
        <is>
          <t>ger</t>
        </is>
      </c>
      <c r="P186" t="inlineStr">
        <is>
          <t xml:space="preserve">xx </t>
        </is>
      </c>
      <c r="R186" t="inlineStr">
        <is>
          <t xml:space="preserve">QD </t>
        </is>
      </c>
      <c r="S186" t="n">
        <v>1</v>
      </c>
      <c r="T186" t="n">
        <v>324</v>
      </c>
      <c r="U186" t="inlineStr">
        <is>
          <t>1998-07-27</t>
        </is>
      </c>
      <c r="V186" t="inlineStr">
        <is>
          <t>1998-07-28</t>
        </is>
      </c>
      <c r="W186" t="inlineStr">
        <is>
          <t>1997-06-03</t>
        </is>
      </c>
      <c r="X186" t="inlineStr">
        <is>
          <t>1998-06-24</t>
        </is>
      </c>
      <c r="Y186" t="n">
        <v>259</v>
      </c>
      <c r="Z186" t="n">
        <v>221</v>
      </c>
      <c r="AA186" t="n">
        <v>223</v>
      </c>
      <c r="AB186" t="n">
        <v>2</v>
      </c>
      <c r="AC186" t="n">
        <v>2</v>
      </c>
      <c r="AD186" t="n">
        <v>10</v>
      </c>
      <c r="AE186" t="n">
        <v>10</v>
      </c>
      <c r="AF186" t="n">
        <v>2</v>
      </c>
      <c r="AG186" t="n">
        <v>2</v>
      </c>
      <c r="AH186" t="n">
        <v>2</v>
      </c>
      <c r="AI186" t="n">
        <v>2</v>
      </c>
      <c r="AJ186" t="n">
        <v>8</v>
      </c>
      <c r="AK186" t="n">
        <v>8</v>
      </c>
      <c r="AL186" t="n">
        <v>1</v>
      </c>
      <c r="AM186" t="n">
        <v>1</v>
      </c>
      <c r="AN186" t="n">
        <v>0</v>
      </c>
      <c r="AO186" t="n">
        <v>0</v>
      </c>
      <c r="AP186" t="inlineStr">
        <is>
          <t>No</t>
        </is>
      </c>
      <c r="AQ186" t="inlineStr">
        <is>
          <t>Yes</t>
        </is>
      </c>
      <c r="AR186">
        <f>HYPERLINK("http://catalog.hathitrust.org/Record/009932175","HathiTrust Record")</f>
        <v/>
      </c>
      <c r="AS186">
        <f>HYPERLINK("https://creighton-primo.hosted.exlibrisgroup.com/primo-explore/search?tab=default_tab&amp;search_scope=EVERYTHING&amp;vid=01CRU&amp;lang=en_US&amp;offset=0&amp;query=any,contains,991005356889702656","Catalog Record")</f>
        <v/>
      </c>
      <c r="AT186">
        <f>HYPERLINK("http://www.worldcat.org/oclc/802031","WorldCat Record")</f>
        <v/>
      </c>
      <c r="AU186" t="inlineStr">
        <is>
          <t>4924721893:ger</t>
        </is>
      </c>
      <c r="AV186" t="inlineStr">
        <is>
          <t>802031</t>
        </is>
      </c>
      <c r="AW186" t="inlineStr">
        <is>
          <t>991005356889702656</t>
        </is>
      </c>
      <c r="AX186" t="inlineStr">
        <is>
          <t>991005356889702656</t>
        </is>
      </c>
      <c r="AY186" t="inlineStr">
        <is>
          <t>2270552310002656</t>
        </is>
      </c>
      <c r="AZ186" t="inlineStr">
        <is>
          <t>BOOK</t>
        </is>
      </c>
      <c r="BC186" t="inlineStr">
        <is>
          <t>32285002790243</t>
        </is>
      </c>
      <c r="BD186" t="inlineStr">
        <is>
          <t>893533639</t>
        </is>
      </c>
    </row>
    <row r="187">
      <c r="A187" t="inlineStr">
        <is>
          <t>No</t>
        </is>
      </c>
      <c r="B187" t="inlineStr">
        <is>
          <t>QD151 .G52 NO. 31 SUPP. 2</t>
        </is>
      </c>
      <c r="C187" t="inlineStr">
        <is>
          <t>0                      QD 0151000G  52                                                      NO. 31 SUPP. 2</t>
        </is>
      </c>
      <c r="D187" t="inlineStr">
        <is>
          <t>Gmelins Handbuch der anorganischen chemie.</t>
        </is>
      </c>
      <c r="E187" t="inlineStr">
        <is>
          <t>NO. 31 SUPP. 2*</t>
        </is>
      </c>
      <c r="F187" t="inlineStr">
        <is>
          <t>Yes</t>
        </is>
      </c>
      <c r="G187" t="inlineStr">
        <is>
          <t>1</t>
        </is>
      </c>
      <c r="H187" t="inlineStr">
        <is>
          <t>No</t>
        </is>
      </c>
      <c r="I187" t="inlineStr">
        <is>
          <t>No</t>
        </is>
      </c>
      <c r="J187" t="inlineStr">
        <is>
          <t>0</t>
        </is>
      </c>
      <c r="L187" t="inlineStr">
        <is>
          <t>Leipzig-Berlin, Verlag Chemie g.m.b.h., 1924-</t>
        </is>
      </c>
      <c r="M187" t="inlineStr">
        <is>
          <t>1924</t>
        </is>
      </c>
      <c r="N187" t="inlineStr">
        <is>
          <t>8. aufl. Hrsg. von der Deutschen chemischen gesellschaft, bearb. von R.J. Meyer, unter beratender mitwirkung von Franz Peters.</t>
        </is>
      </c>
      <c r="O187" t="inlineStr">
        <is>
          <t>ger</t>
        </is>
      </c>
      <c r="P187" t="inlineStr">
        <is>
          <t xml:space="preserve">xx </t>
        </is>
      </c>
      <c r="R187" t="inlineStr">
        <is>
          <t xml:space="preserve">QD </t>
        </is>
      </c>
      <c r="S187" t="n">
        <v>1</v>
      </c>
      <c r="T187" t="n">
        <v>324</v>
      </c>
      <c r="U187" t="inlineStr">
        <is>
          <t>1998-07-27</t>
        </is>
      </c>
      <c r="V187" t="inlineStr">
        <is>
          <t>1998-07-28</t>
        </is>
      </c>
      <c r="W187" t="inlineStr">
        <is>
          <t>1997-06-03</t>
        </is>
      </c>
      <c r="X187" t="inlineStr">
        <is>
          <t>1998-06-24</t>
        </is>
      </c>
      <c r="Y187" t="n">
        <v>259</v>
      </c>
      <c r="Z187" t="n">
        <v>221</v>
      </c>
      <c r="AA187" t="n">
        <v>223</v>
      </c>
      <c r="AB187" t="n">
        <v>2</v>
      </c>
      <c r="AC187" t="n">
        <v>2</v>
      </c>
      <c r="AD187" t="n">
        <v>10</v>
      </c>
      <c r="AE187" t="n">
        <v>10</v>
      </c>
      <c r="AF187" t="n">
        <v>2</v>
      </c>
      <c r="AG187" t="n">
        <v>2</v>
      </c>
      <c r="AH187" t="n">
        <v>2</v>
      </c>
      <c r="AI187" t="n">
        <v>2</v>
      </c>
      <c r="AJ187" t="n">
        <v>8</v>
      </c>
      <c r="AK187" t="n">
        <v>8</v>
      </c>
      <c r="AL187" t="n">
        <v>1</v>
      </c>
      <c r="AM187" t="n">
        <v>1</v>
      </c>
      <c r="AN187" t="n">
        <v>0</v>
      </c>
      <c r="AO187" t="n">
        <v>0</v>
      </c>
      <c r="AP187" t="inlineStr">
        <is>
          <t>No</t>
        </is>
      </c>
      <c r="AQ187" t="inlineStr">
        <is>
          <t>Yes</t>
        </is>
      </c>
      <c r="AR187">
        <f>HYPERLINK("http://catalog.hathitrust.org/Record/009932175","HathiTrust Record")</f>
        <v/>
      </c>
      <c r="AS187">
        <f>HYPERLINK("https://creighton-primo.hosted.exlibrisgroup.com/primo-explore/search?tab=default_tab&amp;search_scope=EVERYTHING&amp;vid=01CRU&amp;lang=en_US&amp;offset=0&amp;query=any,contains,991005356889702656","Catalog Record")</f>
        <v/>
      </c>
      <c r="AT187">
        <f>HYPERLINK("http://www.worldcat.org/oclc/802031","WorldCat Record")</f>
        <v/>
      </c>
      <c r="AU187" t="inlineStr">
        <is>
          <t>4924721893:ger</t>
        </is>
      </c>
      <c r="AV187" t="inlineStr">
        <is>
          <t>802031</t>
        </is>
      </c>
      <c r="AW187" t="inlineStr">
        <is>
          <t>991005356889702656</t>
        </is>
      </c>
      <c r="AX187" t="inlineStr">
        <is>
          <t>991005356889702656</t>
        </is>
      </c>
      <c r="AY187" t="inlineStr">
        <is>
          <t>2270552310002656</t>
        </is>
      </c>
      <c r="AZ187" t="inlineStr">
        <is>
          <t>BOOK</t>
        </is>
      </c>
      <c r="BC187" t="inlineStr">
        <is>
          <t>32285002790250</t>
        </is>
      </c>
      <c r="BD187" t="inlineStr">
        <is>
          <t>893527414</t>
        </is>
      </c>
    </row>
    <row r="188">
      <c r="A188" t="inlineStr">
        <is>
          <t>No</t>
        </is>
      </c>
      <c r="B188" t="inlineStr">
        <is>
          <t>QD151 .G52 NO. 32</t>
        </is>
      </c>
      <c r="C188" t="inlineStr">
        <is>
          <t>0                      QD 0151000G  52                                                      NO. 32</t>
        </is>
      </c>
      <c r="D188" t="inlineStr">
        <is>
          <t>Gmelins Handbuch der anorganischen chemie.</t>
        </is>
      </c>
      <c r="E188" t="inlineStr">
        <is>
          <t>NO. 32*</t>
        </is>
      </c>
      <c r="F188" t="inlineStr">
        <is>
          <t>Yes</t>
        </is>
      </c>
      <c r="G188" t="inlineStr">
        <is>
          <t>1</t>
        </is>
      </c>
      <c r="H188" t="inlineStr">
        <is>
          <t>No</t>
        </is>
      </c>
      <c r="I188" t="inlineStr">
        <is>
          <t>No</t>
        </is>
      </c>
      <c r="J188" t="inlineStr">
        <is>
          <t>0</t>
        </is>
      </c>
      <c r="L188" t="inlineStr">
        <is>
          <t>Leipzig-Berlin, Verlag Chemie g.m.b.h., 1924-</t>
        </is>
      </c>
      <c r="M188" t="inlineStr">
        <is>
          <t>1924</t>
        </is>
      </c>
      <c r="N188" t="inlineStr">
        <is>
          <t>8. aufl. Hrsg. von der Deutschen chemischen gesellschaft, bearb. von R.J. Meyer, unter beratender mitwirkung von Franz Peters.</t>
        </is>
      </c>
      <c r="O188" t="inlineStr">
        <is>
          <t>ger</t>
        </is>
      </c>
      <c r="P188" t="inlineStr">
        <is>
          <t xml:space="preserve">xx </t>
        </is>
      </c>
      <c r="R188" t="inlineStr">
        <is>
          <t xml:space="preserve">QD </t>
        </is>
      </c>
      <c r="S188" t="n">
        <v>1</v>
      </c>
      <c r="T188" t="n">
        <v>324</v>
      </c>
      <c r="U188" t="inlineStr">
        <is>
          <t>1998-07-27</t>
        </is>
      </c>
      <c r="V188" t="inlineStr">
        <is>
          <t>1998-07-28</t>
        </is>
      </c>
      <c r="W188" t="inlineStr">
        <is>
          <t>1997-06-03</t>
        </is>
      </c>
      <c r="X188" t="inlineStr">
        <is>
          <t>1998-06-24</t>
        </is>
      </c>
      <c r="Y188" t="n">
        <v>259</v>
      </c>
      <c r="Z188" t="n">
        <v>221</v>
      </c>
      <c r="AA188" t="n">
        <v>223</v>
      </c>
      <c r="AB188" t="n">
        <v>2</v>
      </c>
      <c r="AC188" t="n">
        <v>2</v>
      </c>
      <c r="AD188" t="n">
        <v>10</v>
      </c>
      <c r="AE188" t="n">
        <v>10</v>
      </c>
      <c r="AF188" t="n">
        <v>2</v>
      </c>
      <c r="AG188" t="n">
        <v>2</v>
      </c>
      <c r="AH188" t="n">
        <v>2</v>
      </c>
      <c r="AI188" t="n">
        <v>2</v>
      </c>
      <c r="AJ188" t="n">
        <v>8</v>
      </c>
      <c r="AK188" t="n">
        <v>8</v>
      </c>
      <c r="AL188" t="n">
        <v>1</v>
      </c>
      <c r="AM188" t="n">
        <v>1</v>
      </c>
      <c r="AN188" t="n">
        <v>0</v>
      </c>
      <c r="AO188" t="n">
        <v>0</v>
      </c>
      <c r="AP188" t="inlineStr">
        <is>
          <t>No</t>
        </is>
      </c>
      <c r="AQ188" t="inlineStr">
        <is>
          <t>Yes</t>
        </is>
      </c>
      <c r="AR188">
        <f>HYPERLINK("http://catalog.hathitrust.org/Record/009932175","HathiTrust Record")</f>
        <v/>
      </c>
      <c r="AS188">
        <f>HYPERLINK("https://creighton-primo.hosted.exlibrisgroup.com/primo-explore/search?tab=default_tab&amp;search_scope=EVERYTHING&amp;vid=01CRU&amp;lang=en_US&amp;offset=0&amp;query=any,contains,991005356889702656","Catalog Record")</f>
        <v/>
      </c>
      <c r="AT188">
        <f>HYPERLINK("http://www.worldcat.org/oclc/802031","WorldCat Record")</f>
        <v/>
      </c>
      <c r="AU188" t="inlineStr">
        <is>
          <t>4924721893:ger</t>
        </is>
      </c>
      <c r="AV188" t="inlineStr">
        <is>
          <t>802031</t>
        </is>
      </c>
      <c r="AW188" t="inlineStr">
        <is>
          <t>991005356889702656</t>
        </is>
      </c>
      <c r="AX188" t="inlineStr">
        <is>
          <t>991005356889702656</t>
        </is>
      </c>
      <c r="AY188" t="inlineStr">
        <is>
          <t>2270552310002656</t>
        </is>
      </c>
      <c r="AZ188" t="inlineStr">
        <is>
          <t>BOOK</t>
        </is>
      </c>
      <c r="BC188" t="inlineStr">
        <is>
          <t>32285002790268</t>
        </is>
      </c>
      <c r="BD188" t="inlineStr">
        <is>
          <t>893520922</t>
        </is>
      </c>
    </row>
    <row r="189">
      <c r="A189" t="inlineStr">
        <is>
          <t>No</t>
        </is>
      </c>
      <c r="B189" t="inlineStr">
        <is>
          <t>QD151 .G52 NO. 32 SUPP.</t>
        </is>
      </c>
      <c r="C189" t="inlineStr">
        <is>
          <t>0                      QD 0151000G  52                                                      NO. 32 SUPP.</t>
        </is>
      </c>
      <c r="D189" t="inlineStr">
        <is>
          <t>Gmelins Handbuch der anorganischen chemie.</t>
        </is>
      </c>
      <c r="E189" t="inlineStr">
        <is>
          <t>NO. 32 SUPP.*</t>
        </is>
      </c>
      <c r="F189" t="inlineStr">
        <is>
          <t>Yes</t>
        </is>
      </c>
      <c r="G189" t="inlineStr">
        <is>
          <t>1</t>
        </is>
      </c>
      <c r="H189" t="inlineStr">
        <is>
          <t>No</t>
        </is>
      </c>
      <c r="I189" t="inlineStr">
        <is>
          <t>No</t>
        </is>
      </c>
      <c r="J189" t="inlineStr">
        <is>
          <t>0</t>
        </is>
      </c>
      <c r="L189" t="inlineStr">
        <is>
          <t>Leipzig-Berlin, Verlag Chemie g.m.b.h., 1924-</t>
        </is>
      </c>
      <c r="M189" t="inlineStr">
        <is>
          <t>1924</t>
        </is>
      </c>
      <c r="N189" t="inlineStr">
        <is>
          <t>8. aufl. Hrsg. von der Deutschen chemischen gesellschaft, bearb. von R.J. Meyer, unter beratender mitwirkung von Franz Peters.</t>
        </is>
      </c>
      <c r="O189" t="inlineStr">
        <is>
          <t>ger</t>
        </is>
      </c>
      <c r="P189" t="inlineStr">
        <is>
          <t xml:space="preserve">xx </t>
        </is>
      </c>
      <c r="R189" t="inlineStr">
        <is>
          <t xml:space="preserve">QD </t>
        </is>
      </c>
      <c r="S189" t="n">
        <v>1</v>
      </c>
      <c r="T189" t="n">
        <v>324</v>
      </c>
      <c r="U189" t="inlineStr">
        <is>
          <t>1998-07-27</t>
        </is>
      </c>
      <c r="V189" t="inlineStr">
        <is>
          <t>1998-07-28</t>
        </is>
      </c>
      <c r="W189" t="inlineStr">
        <is>
          <t>1997-06-03</t>
        </is>
      </c>
      <c r="X189" t="inlineStr">
        <is>
          <t>1998-06-24</t>
        </is>
      </c>
      <c r="Y189" t="n">
        <v>259</v>
      </c>
      <c r="Z189" t="n">
        <v>221</v>
      </c>
      <c r="AA189" t="n">
        <v>223</v>
      </c>
      <c r="AB189" t="n">
        <v>2</v>
      </c>
      <c r="AC189" t="n">
        <v>2</v>
      </c>
      <c r="AD189" t="n">
        <v>10</v>
      </c>
      <c r="AE189" t="n">
        <v>10</v>
      </c>
      <c r="AF189" t="n">
        <v>2</v>
      </c>
      <c r="AG189" t="n">
        <v>2</v>
      </c>
      <c r="AH189" t="n">
        <v>2</v>
      </c>
      <c r="AI189" t="n">
        <v>2</v>
      </c>
      <c r="AJ189" t="n">
        <v>8</v>
      </c>
      <c r="AK189" t="n">
        <v>8</v>
      </c>
      <c r="AL189" t="n">
        <v>1</v>
      </c>
      <c r="AM189" t="n">
        <v>1</v>
      </c>
      <c r="AN189" t="n">
        <v>0</v>
      </c>
      <c r="AO189" t="n">
        <v>0</v>
      </c>
      <c r="AP189" t="inlineStr">
        <is>
          <t>No</t>
        </is>
      </c>
      <c r="AQ189" t="inlineStr">
        <is>
          <t>Yes</t>
        </is>
      </c>
      <c r="AR189">
        <f>HYPERLINK("http://catalog.hathitrust.org/Record/009932175","HathiTrust Record")</f>
        <v/>
      </c>
      <c r="AS189">
        <f>HYPERLINK("https://creighton-primo.hosted.exlibrisgroup.com/primo-explore/search?tab=default_tab&amp;search_scope=EVERYTHING&amp;vid=01CRU&amp;lang=en_US&amp;offset=0&amp;query=any,contains,991005356889702656","Catalog Record")</f>
        <v/>
      </c>
      <c r="AT189">
        <f>HYPERLINK("http://www.worldcat.org/oclc/802031","WorldCat Record")</f>
        <v/>
      </c>
      <c r="AU189" t="inlineStr">
        <is>
          <t>4924721893:ger</t>
        </is>
      </c>
      <c r="AV189" t="inlineStr">
        <is>
          <t>802031</t>
        </is>
      </c>
      <c r="AW189" t="inlineStr">
        <is>
          <t>991005356889702656</t>
        </is>
      </c>
      <c r="AX189" t="inlineStr">
        <is>
          <t>991005356889702656</t>
        </is>
      </c>
      <c r="AY189" t="inlineStr">
        <is>
          <t>2270552310002656</t>
        </is>
      </c>
      <c r="AZ189" t="inlineStr">
        <is>
          <t>BOOK</t>
        </is>
      </c>
      <c r="BC189" t="inlineStr">
        <is>
          <t>32285002790276</t>
        </is>
      </c>
      <c r="BD189" t="inlineStr">
        <is>
          <t>893520958</t>
        </is>
      </c>
    </row>
    <row r="190">
      <c r="A190" t="inlineStr">
        <is>
          <t>No</t>
        </is>
      </c>
      <c r="B190" t="inlineStr">
        <is>
          <t>QD151 .G52 NO. 33</t>
        </is>
      </c>
      <c r="C190" t="inlineStr">
        <is>
          <t>0                      QD 0151000G  52                                                      NO. 33</t>
        </is>
      </c>
      <c r="D190" t="inlineStr">
        <is>
          <t>Gmelins Handbuch der anorganischen chemie.</t>
        </is>
      </c>
      <c r="E190" t="inlineStr">
        <is>
          <t>NO. 33*</t>
        </is>
      </c>
      <c r="F190" t="inlineStr">
        <is>
          <t>Yes</t>
        </is>
      </c>
      <c r="G190" t="inlineStr">
        <is>
          <t>1</t>
        </is>
      </c>
      <c r="H190" t="inlineStr">
        <is>
          <t>No</t>
        </is>
      </c>
      <c r="I190" t="inlineStr">
        <is>
          <t>No</t>
        </is>
      </c>
      <c r="J190" t="inlineStr">
        <is>
          <t>0</t>
        </is>
      </c>
      <c r="L190" t="inlineStr">
        <is>
          <t>Leipzig-Berlin, Verlag Chemie g.m.b.h., 1924-</t>
        </is>
      </c>
      <c r="M190" t="inlineStr">
        <is>
          <t>1924</t>
        </is>
      </c>
      <c r="N190" t="inlineStr">
        <is>
          <t>8. aufl. Hrsg. von der Deutschen chemischen gesellschaft, bearb. von R.J. Meyer, unter beratender mitwirkung von Franz Peters.</t>
        </is>
      </c>
      <c r="O190" t="inlineStr">
        <is>
          <t>ger</t>
        </is>
      </c>
      <c r="P190" t="inlineStr">
        <is>
          <t xml:space="preserve">xx </t>
        </is>
      </c>
      <c r="R190" t="inlineStr">
        <is>
          <t xml:space="preserve">QD </t>
        </is>
      </c>
      <c r="S190" t="n">
        <v>1</v>
      </c>
      <c r="T190" t="n">
        <v>324</v>
      </c>
      <c r="U190" t="inlineStr">
        <is>
          <t>1998-07-27</t>
        </is>
      </c>
      <c r="V190" t="inlineStr">
        <is>
          <t>1998-07-28</t>
        </is>
      </c>
      <c r="W190" t="inlineStr">
        <is>
          <t>1997-06-03</t>
        </is>
      </c>
      <c r="X190" t="inlineStr">
        <is>
          <t>1998-06-24</t>
        </is>
      </c>
      <c r="Y190" t="n">
        <v>259</v>
      </c>
      <c r="Z190" t="n">
        <v>221</v>
      </c>
      <c r="AA190" t="n">
        <v>223</v>
      </c>
      <c r="AB190" t="n">
        <v>2</v>
      </c>
      <c r="AC190" t="n">
        <v>2</v>
      </c>
      <c r="AD190" t="n">
        <v>10</v>
      </c>
      <c r="AE190" t="n">
        <v>10</v>
      </c>
      <c r="AF190" t="n">
        <v>2</v>
      </c>
      <c r="AG190" t="n">
        <v>2</v>
      </c>
      <c r="AH190" t="n">
        <v>2</v>
      </c>
      <c r="AI190" t="n">
        <v>2</v>
      </c>
      <c r="AJ190" t="n">
        <v>8</v>
      </c>
      <c r="AK190" t="n">
        <v>8</v>
      </c>
      <c r="AL190" t="n">
        <v>1</v>
      </c>
      <c r="AM190" t="n">
        <v>1</v>
      </c>
      <c r="AN190" t="n">
        <v>0</v>
      </c>
      <c r="AO190" t="n">
        <v>0</v>
      </c>
      <c r="AP190" t="inlineStr">
        <is>
          <t>No</t>
        </is>
      </c>
      <c r="AQ190" t="inlineStr">
        <is>
          <t>Yes</t>
        </is>
      </c>
      <c r="AR190">
        <f>HYPERLINK("http://catalog.hathitrust.org/Record/009932175","HathiTrust Record")</f>
        <v/>
      </c>
      <c r="AS190">
        <f>HYPERLINK("https://creighton-primo.hosted.exlibrisgroup.com/primo-explore/search?tab=default_tab&amp;search_scope=EVERYTHING&amp;vid=01CRU&amp;lang=en_US&amp;offset=0&amp;query=any,contains,991005356889702656","Catalog Record")</f>
        <v/>
      </c>
      <c r="AT190">
        <f>HYPERLINK("http://www.worldcat.org/oclc/802031","WorldCat Record")</f>
        <v/>
      </c>
      <c r="AU190" t="inlineStr">
        <is>
          <t>4924721893:ger</t>
        </is>
      </c>
      <c r="AV190" t="inlineStr">
        <is>
          <t>802031</t>
        </is>
      </c>
      <c r="AW190" t="inlineStr">
        <is>
          <t>991005356889702656</t>
        </is>
      </c>
      <c r="AX190" t="inlineStr">
        <is>
          <t>991005356889702656</t>
        </is>
      </c>
      <c r="AY190" t="inlineStr">
        <is>
          <t>2270552310002656</t>
        </is>
      </c>
      <c r="AZ190" t="inlineStr">
        <is>
          <t>BOOK</t>
        </is>
      </c>
      <c r="BC190" t="inlineStr">
        <is>
          <t>32285002790284</t>
        </is>
      </c>
      <c r="BD190" t="inlineStr">
        <is>
          <t>893501762</t>
        </is>
      </c>
    </row>
    <row r="191">
      <c r="A191" t="inlineStr">
        <is>
          <t>No</t>
        </is>
      </c>
      <c r="B191" t="inlineStr">
        <is>
          <t>QD151 .G52 NO. 33 SUPP.</t>
        </is>
      </c>
      <c r="C191" t="inlineStr">
        <is>
          <t>0                      QD 0151000G  52                                                      NO. 33 SUPP.</t>
        </is>
      </c>
      <c r="D191" t="inlineStr">
        <is>
          <t>Gmelins Handbuch der anorganischen chemie.</t>
        </is>
      </c>
      <c r="E191" t="inlineStr">
        <is>
          <t>NO. 33 SUPP.*</t>
        </is>
      </c>
      <c r="F191" t="inlineStr">
        <is>
          <t>Yes</t>
        </is>
      </c>
      <c r="G191" t="inlineStr">
        <is>
          <t>1</t>
        </is>
      </c>
      <c r="H191" t="inlineStr">
        <is>
          <t>No</t>
        </is>
      </c>
      <c r="I191" t="inlineStr">
        <is>
          <t>No</t>
        </is>
      </c>
      <c r="J191" t="inlineStr">
        <is>
          <t>0</t>
        </is>
      </c>
      <c r="L191" t="inlineStr">
        <is>
          <t>Leipzig-Berlin, Verlag Chemie g.m.b.h., 1924-</t>
        </is>
      </c>
      <c r="M191" t="inlineStr">
        <is>
          <t>1924</t>
        </is>
      </c>
      <c r="N191" t="inlineStr">
        <is>
          <t>8. aufl. Hrsg. von der Deutschen chemischen gesellschaft, bearb. von R.J. Meyer, unter beratender mitwirkung von Franz Peters.</t>
        </is>
      </c>
      <c r="O191" t="inlineStr">
        <is>
          <t>ger</t>
        </is>
      </c>
      <c r="P191" t="inlineStr">
        <is>
          <t xml:space="preserve">xx </t>
        </is>
      </c>
      <c r="R191" t="inlineStr">
        <is>
          <t xml:space="preserve">QD </t>
        </is>
      </c>
      <c r="S191" t="n">
        <v>1</v>
      </c>
      <c r="T191" t="n">
        <v>324</v>
      </c>
      <c r="U191" t="inlineStr">
        <is>
          <t>1998-07-27</t>
        </is>
      </c>
      <c r="V191" t="inlineStr">
        <is>
          <t>1998-07-28</t>
        </is>
      </c>
      <c r="W191" t="inlineStr">
        <is>
          <t>1997-06-03</t>
        </is>
      </c>
      <c r="X191" t="inlineStr">
        <is>
          <t>1998-06-24</t>
        </is>
      </c>
      <c r="Y191" t="n">
        <v>259</v>
      </c>
      <c r="Z191" t="n">
        <v>221</v>
      </c>
      <c r="AA191" t="n">
        <v>223</v>
      </c>
      <c r="AB191" t="n">
        <v>2</v>
      </c>
      <c r="AC191" t="n">
        <v>2</v>
      </c>
      <c r="AD191" t="n">
        <v>10</v>
      </c>
      <c r="AE191" t="n">
        <v>10</v>
      </c>
      <c r="AF191" t="n">
        <v>2</v>
      </c>
      <c r="AG191" t="n">
        <v>2</v>
      </c>
      <c r="AH191" t="n">
        <v>2</v>
      </c>
      <c r="AI191" t="n">
        <v>2</v>
      </c>
      <c r="AJ191" t="n">
        <v>8</v>
      </c>
      <c r="AK191" t="n">
        <v>8</v>
      </c>
      <c r="AL191" t="n">
        <v>1</v>
      </c>
      <c r="AM191" t="n">
        <v>1</v>
      </c>
      <c r="AN191" t="n">
        <v>0</v>
      </c>
      <c r="AO191" t="n">
        <v>0</v>
      </c>
      <c r="AP191" t="inlineStr">
        <is>
          <t>No</t>
        </is>
      </c>
      <c r="AQ191" t="inlineStr">
        <is>
          <t>Yes</t>
        </is>
      </c>
      <c r="AR191">
        <f>HYPERLINK("http://catalog.hathitrust.org/Record/009932175","HathiTrust Record")</f>
        <v/>
      </c>
      <c r="AS191">
        <f>HYPERLINK("https://creighton-primo.hosted.exlibrisgroup.com/primo-explore/search?tab=default_tab&amp;search_scope=EVERYTHING&amp;vid=01CRU&amp;lang=en_US&amp;offset=0&amp;query=any,contains,991005356889702656","Catalog Record")</f>
        <v/>
      </c>
      <c r="AT191">
        <f>HYPERLINK("http://www.worldcat.org/oclc/802031","WorldCat Record")</f>
        <v/>
      </c>
      <c r="AU191" t="inlineStr">
        <is>
          <t>4924721893:ger</t>
        </is>
      </c>
      <c r="AV191" t="inlineStr">
        <is>
          <t>802031</t>
        </is>
      </c>
      <c r="AW191" t="inlineStr">
        <is>
          <t>991005356889702656</t>
        </is>
      </c>
      <c r="AX191" t="inlineStr">
        <is>
          <t>991005356889702656</t>
        </is>
      </c>
      <c r="AY191" t="inlineStr">
        <is>
          <t>2270552310002656</t>
        </is>
      </c>
      <c r="AZ191" t="inlineStr">
        <is>
          <t>BOOK</t>
        </is>
      </c>
      <c r="BC191" t="inlineStr">
        <is>
          <t>32285002790292</t>
        </is>
      </c>
      <c r="BD191" t="inlineStr">
        <is>
          <t>893527394</t>
        </is>
      </c>
    </row>
    <row r="192">
      <c r="A192" t="inlineStr">
        <is>
          <t>No</t>
        </is>
      </c>
      <c r="B192" t="inlineStr">
        <is>
          <t>QD151 .G52 NO. 34 PT. A1</t>
        </is>
      </c>
      <c r="C192" t="inlineStr">
        <is>
          <t>0                      QD 0151000G  52                                                      NO. 34 PT. A1</t>
        </is>
      </c>
      <c r="D192" t="inlineStr">
        <is>
          <t>Gmelins Handbuch der anorganischen chemie.</t>
        </is>
      </c>
      <c r="E192" t="inlineStr">
        <is>
          <t>NO. 34 PT. A1*</t>
        </is>
      </c>
      <c r="F192" t="inlineStr">
        <is>
          <t>Yes</t>
        </is>
      </c>
      <c r="G192" t="inlineStr">
        <is>
          <t>1</t>
        </is>
      </c>
      <c r="H192" t="inlineStr">
        <is>
          <t>No</t>
        </is>
      </c>
      <c r="I192" t="inlineStr">
        <is>
          <t>No</t>
        </is>
      </c>
      <c r="J192" t="inlineStr">
        <is>
          <t>0</t>
        </is>
      </c>
      <c r="L192" t="inlineStr">
        <is>
          <t>Leipzig-Berlin, Verlag Chemie g.m.b.h., 1924-</t>
        </is>
      </c>
      <c r="M192" t="inlineStr">
        <is>
          <t>1924</t>
        </is>
      </c>
      <c r="N192" t="inlineStr">
        <is>
          <t>8. aufl. Hrsg. von der Deutschen chemischen gesellschaft, bearb. von R.J. Meyer, unter beratender mitwirkung von Franz Peters.</t>
        </is>
      </c>
      <c r="O192" t="inlineStr">
        <is>
          <t>ger</t>
        </is>
      </c>
      <c r="P192" t="inlineStr">
        <is>
          <t xml:space="preserve">xx </t>
        </is>
      </c>
      <c r="R192" t="inlineStr">
        <is>
          <t xml:space="preserve">QD </t>
        </is>
      </c>
      <c r="S192" t="n">
        <v>1</v>
      </c>
      <c r="T192" t="n">
        <v>324</v>
      </c>
      <c r="U192" t="inlineStr">
        <is>
          <t>1998-07-27</t>
        </is>
      </c>
      <c r="V192" t="inlineStr">
        <is>
          <t>1998-07-28</t>
        </is>
      </c>
      <c r="W192" t="inlineStr">
        <is>
          <t>1997-06-03</t>
        </is>
      </c>
      <c r="X192" t="inlineStr">
        <is>
          <t>1998-06-24</t>
        </is>
      </c>
      <c r="Y192" t="n">
        <v>259</v>
      </c>
      <c r="Z192" t="n">
        <v>221</v>
      </c>
      <c r="AA192" t="n">
        <v>223</v>
      </c>
      <c r="AB192" t="n">
        <v>2</v>
      </c>
      <c r="AC192" t="n">
        <v>2</v>
      </c>
      <c r="AD192" t="n">
        <v>10</v>
      </c>
      <c r="AE192" t="n">
        <v>10</v>
      </c>
      <c r="AF192" t="n">
        <v>2</v>
      </c>
      <c r="AG192" t="n">
        <v>2</v>
      </c>
      <c r="AH192" t="n">
        <v>2</v>
      </c>
      <c r="AI192" t="n">
        <v>2</v>
      </c>
      <c r="AJ192" t="n">
        <v>8</v>
      </c>
      <c r="AK192" t="n">
        <v>8</v>
      </c>
      <c r="AL192" t="n">
        <v>1</v>
      </c>
      <c r="AM192" t="n">
        <v>1</v>
      </c>
      <c r="AN192" t="n">
        <v>0</v>
      </c>
      <c r="AO192" t="n">
        <v>0</v>
      </c>
      <c r="AP192" t="inlineStr">
        <is>
          <t>No</t>
        </is>
      </c>
      <c r="AQ192" t="inlineStr">
        <is>
          <t>Yes</t>
        </is>
      </c>
      <c r="AR192">
        <f>HYPERLINK("http://catalog.hathitrust.org/Record/009932175","HathiTrust Record")</f>
        <v/>
      </c>
      <c r="AS192">
        <f>HYPERLINK("https://creighton-primo.hosted.exlibrisgroup.com/primo-explore/search?tab=default_tab&amp;search_scope=EVERYTHING&amp;vid=01CRU&amp;lang=en_US&amp;offset=0&amp;query=any,contains,991005356889702656","Catalog Record")</f>
        <v/>
      </c>
      <c r="AT192">
        <f>HYPERLINK("http://www.worldcat.org/oclc/802031","WorldCat Record")</f>
        <v/>
      </c>
      <c r="AU192" t="inlineStr">
        <is>
          <t>4924721893:ger</t>
        </is>
      </c>
      <c r="AV192" t="inlineStr">
        <is>
          <t>802031</t>
        </is>
      </c>
      <c r="AW192" t="inlineStr">
        <is>
          <t>991005356889702656</t>
        </is>
      </c>
      <c r="AX192" t="inlineStr">
        <is>
          <t>991005356889702656</t>
        </is>
      </c>
      <c r="AY192" t="inlineStr">
        <is>
          <t>2270552310002656</t>
        </is>
      </c>
      <c r="AZ192" t="inlineStr">
        <is>
          <t>BOOK</t>
        </is>
      </c>
      <c r="BC192" t="inlineStr">
        <is>
          <t>32285002790300</t>
        </is>
      </c>
      <c r="BD192" t="inlineStr">
        <is>
          <t>893527413</t>
        </is>
      </c>
    </row>
    <row r="193">
      <c r="A193" t="inlineStr">
        <is>
          <t>No</t>
        </is>
      </c>
      <c r="B193" t="inlineStr">
        <is>
          <t>QD151 .G52 NO. 34 PT. A2</t>
        </is>
      </c>
      <c r="C193" t="inlineStr">
        <is>
          <t>0                      QD 0151000G  52                                                      NO. 34 PT. A2</t>
        </is>
      </c>
      <c r="D193" t="inlineStr">
        <is>
          <t>Gmelins Handbuch der anorganischen chemie.</t>
        </is>
      </c>
      <c r="E193" t="inlineStr">
        <is>
          <t>NO. 34 PT. A2*</t>
        </is>
      </c>
      <c r="F193" t="inlineStr">
        <is>
          <t>Yes</t>
        </is>
      </c>
      <c r="G193" t="inlineStr">
        <is>
          <t>1</t>
        </is>
      </c>
      <c r="H193" t="inlineStr">
        <is>
          <t>No</t>
        </is>
      </c>
      <c r="I193" t="inlineStr">
        <is>
          <t>No</t>
        </is>
      </c>
      <c r="J193" t="inlineStr">
        <is>
          <t>0</t>
        </is>
      </c>
      <c r="L193" t="inlineStr">
        <is>
          <t>Leipzig-Berlin, Verlag Chemie g.m.b.h., 1924-</t>
        </is>
      </c>
      <c r="M193" t="inlineStr">
        <is>
          <t>1924</t>
        </is>
      </c>
      <c r="N193" t="inlineStr">
        <is>
          <t>8. aufl. Hrsg. von der Deutschen chemischen gesellschaft, bearb. von R.J. Meyer, unter beratender mitwirkung von Franz Peters.</t>
        </is>
      </c>
      <c r="O193" t="inlineStr">
        <is>
          <t>ger</t>
        </is>
      </c>
      <c r="P193" t="inlineStr">
        <is>
          <t xml:space="preserve">xx </t>
        </is>
      </c>
      <c r="R193" t="inlineStr">
        <is>
          <t xml:space="preserve">QD </t>
        </is>
      </c>
      <c r="S193" t="n">
        <v>1</v>
      </c>
      <c r="T193" t="n">
        <v>324</v>
      </c>
      <c r="U193" t="inlineStr">
        <is>
          <t>1998-07-27</t>
        </is>
      </c>
      <c r="V193" t="inlineStr">
        <is>
          <t>1998-07-28</t>
        </is>
      </c>
      <c r="W193" t="inlineStr">
        <is>
          <t>1997-06-03</t>
        </is>
      </c>
      <c r="X193" t="inlineStr">
        <is>
          <t>1998-06-24</t>
        </is>
      </c>
      <c r="Y193" t="n">
        <v>259</v>
      </c>
      <c r="Z193" t="n">
        <v>221</v>
      </c>
      <c r="AA193" t="n">
        <v>223</v>
      </c>
      <c r="AB193" t="n">
        <v>2</v>
      </c>
      <c r="AC193" t="n">
        <v>2</v>
      </c>
      <c r="AD193" t="n">
        <v>10</v>
      </c>
      <c r="AE193" t="n">
        <v>10</v>
      </c>
      <c r="AF193" t="n">
        <v>2</v>
      </c>
      <c r="AG193" t="n">
        <v>2</v>
      </c>
      <c r="AH193" t="n">
        <v>2</v>
      </c>
      <c r="AI193" t="n">
        <v>2</v>
      </c>
      <c r="AJ193" t="n">
        <v>8</v>
      </c>
      <c r="AK193" t="n">
        <v>8</v>
      </c>
      <c r="AL193" t="n">
        <v>1</v>
      </c>
      <c r="AM193" t="n">
        <v>1</v>
      </c>
      <c r="AN193" t="n">
        <v>0</v>
      </c>
      <c r="AO193" t="n">
        <v>0</v>
      </c>
      <c r="AP193" t="inlineStr">
        <is>
          <t>No</t>
        </is>
      </c>
      <c r="AQ193" t="inlineStr">
        <is>
          <t>Yes</t>
        </is>
      </c>
      <c r="AR193">
        <f>HYPERLINK("http://catalog.hathitrust.org/Record/009932175","HathiTrust Record")</f>
        <v/>
      </c>
      <c r="AS193">
        <f>HYPERLINK("https://creighton-primo.hosted.exlibrisgroup.com/primo-explore/search?tab=default_tab&amp;search_scope=EVERYTHING&amp;vid=01CRU&amp;lang=en_US&amp;offset=0&amp;query=any,contains,991005356889702656","Catalog Record")</f>
        <v/>
      </c>
      <c r="AT193">
        <f>HYPERLINK("http://www.worldcat.org/oclc/802031","WorldCat Record")</f>
        <v/>
      </c>
      <c r="AU193" t="inlineStr">
        <is>
          <t>4924721893:ger</t>
        </is>
      </c>
      <c r="AV193" t="inlineStr">
        <is>
          <t>802031</t>
        </is>
      </c>
      <c r="AW193" t="inlineStr">
        <is>
          <t>991005356889702656</t>
        </is>
      </c>
      <c r="AX193" t="inlineStr">
        <is>
          <t>991005356889702656</t>
        </is>
      </c>
      <c r="AY193" t="inlineStr">
        <is>
          <t>2270552310002656</t>
        </is>
      </c>
      <c r="AZ193" t="inlineStr">
        <is>
          <t>BOOK</t>
        </is>
      </c>
      <c r="BC193" t="inlineStr">
        <is>
          <t>32285002790318</t>
        </is>
      </c>
      <c r="BD193" t="inlineStr">
        <is>
          <t>893501761</t>
        </is>
      </c>
    </row>
    <row r="194">
      <c r="A194" t="inlineStr">
        <is>
          <t>No</t>
        </is>
      </c>
      <c r="B194" t="inlineStr">
        <is>
          <t>QD151 .G52 NO. 34 PT. B1</t>
        </is>
      </c>
      <c r="C194" t="inlineStr">
        <is>
          <t>0                      QD 0151000G  52                                                      NO. 34 PT. B1</t>
        </is>
      </c>
      <c r="D194" t="inlineStr">
        <is>
          <t>Gmelins Handbuch der anorganischen chemie.</t>
        </is>
      </c>
      <c r="E194" t="inlineStr">
        <is>
          <t>NO. 34 PT. B1*</t>
        </is>
      </c>
      <c r="F194" t="inlineStr">
        <is>
          <t>Yes</t>
        </is>
      </c>
      <c r="G194" t="inlineStr">
        <is>
          <t>1</t>
        </is>
      </c>
      <c r="H194" t="inlineStr">
        <is>
          <t>No</t>
        </is>
      </c>
      <c r="I194" t="inlineStr">
        <is>
          <t>No</t>
        </is>
      </c>
      <c r="J194" t="inlineStr">
        <is>
          <t>0</t>
        </is>
      </c>
      <c r="L194" t="inlineStr">
        <is>
          <t>Leipzig-Berlin, Verlag Chemie g.m.b.h., 1924-</t>
        </is>
      </c>
      <c r="M194" t="inlineStr">
        <is>
          <t>1924</t>
        </is>
      </c>
      <c r="N194" t="inlineStr">
        <is>
          <t>8. aufl. Hrsg. von der Deutschen chemischen gesellschaft, bearb. von R.J. Meyer, unter beratender mitwirkung von Franz Peters.</t>
        </is>
      </c>
      <c r="O194" t="inlineStr">
        <is>
          <t>ger</t>
        </is>
      </c>
      <c r="P194" t="inlineStr">
        <is>
          <t xml:space="preserve">xx </t>
        </is>
      </c>
      <c r="R194" t="inlineStr">
        <is>
          <t xml:space="preserve">QD </t>
        </is>
      </c>
      <c r="S194" t="n">
        <v>1</v>
      </c>
      <c r="T194" t="n">
        <v>324</v>
      </c>
      <c r="U194" t="inlineStr">
        <is>
          <t>1998-07-27</t>
        </is>
      </c>
      <c r="V194" t="inlineStr">
        <is>
          <t>1998-07-28</t>
        </is>
      </c>
      <c r="W194" t="inlineStr">
        <is>
          <t>1997-06-03</t>
        </is>
      </c>
      <c r="X194" t="inlineStr">
        <is>
          <t>1998-06-24</t>
        </is>
      </c>
      <c r="Y194" t="n">
        <v>259</v>
      </c>
      <c r="Z194" t="n">
        <v>221</v>
      </c>
      <c r="AA194" t="n">
        <v>223</v>
      </c>
      <c r="AB194" t="n">
        <v>2</v>
      </c>
      <c r="AC194" t="n">
        <v>2</v>
      </c>
      <c r="AD194" t="n">
        <v>10</v>
      </c>
      <c r="AE194" t="n">
        <v>10</v>
      </c>
      <c r="AF194" t="n">
        <v>2</v>
      </c>
      <c r="AG194" t="n">
        <v>2</v>
      </c>
      <c r="AH194" t="n">
        <v>2</v>
      </c>
      <c r="AI194" t="n">
        <v>2</v>
      </c>
      <c r="AJ194" t="n">
        <v>8</v>
      </c>
      <c r="AK194" t="n">
        <v>8</v>
      </c>
      <c r="AL194" t="n">
        <v>1</v>
      </c>
      <c r="AM194" t="n">
        <v>1</v>
      </c>
      <c r="AN194" t="n">
        <v>0</v>
      </c>
      <c r="AO194" t="n">
        <v>0</v>
      </c>
      <c r="AP194" t="inlineStr">
        <is>
          <t>No</t>
        </is>
      </c>
      <c r="AQ194" t="inlineStr">
        <is>
          <t>Yes</t>
        </is>
      </c>
      <c r="AR194">
        <f>HYPERLINK("http://catalog.hathitrust.org/Record/009932175","HathiTrust Record")</f>
        <v/>
      </c>
      <c r="AS194">
        <f>HYPERLINK("https://creighton-primo.hosted.exlibrisgroup.com/primo-explore/search?tab=default_tab&amp;search_scope=EVERYTHING&amp;vid=01CRU&amp;lang=en_US&amp;offset=0&amp;query=any,contains,991005356889702656","Catalog Record")</f>
        <v/>
      </c>
      <c r="AT194">
        <f>HYPERLINK("http://www.worldcat.org/oclc/802031","WorldCat Record")</f>
        <v/>
      </c>
      <c r="AU194" t="inlineStr">
        <is>
          <t>4924721893:ger</t>
        </is>
      </c>
      <c r="AV194" t="inlineStr">
        <is>
          <t>802031</t>
        </is>
      </c>
      <c r="AW194" t="inlineStr">
        <is>
          <t>991005356889702656</t>
        </is>
      </c>
      <c r="AX194" t="inlineStr">
        <is>
          <t>991005356889702656</t>
        </is>
      </c>
      <c r="AY194" t="inlineStr">
        <is>
          <t>2270552310002656</t>
        </is>
      </c>
      <c r="AZ194" t="inlineStr">
        <is>
          <t>BOOK</t>
        </is>
      </c>
      <c r="BC194" t="inlineStr">
        <is>
          <t>32285002790326</t>
        </is>
      </c>
      <c r="BD194" t="inlineStr">
        <is>
          <t>893520921</t>
        </is>
      </c>
    </row>
    <row r="195">
      <c r="A195" t="inlineStr">
        <is>
          <t>No</t>
        </is>
      </c>
      <c r="B195" t="inlineStr">
        <is>
          <t>QD151 .G52 NO. 34 PT. B2</t>
        </is>
      </c>
      <c r="C195" t="inlineStr">
        <is>
          <t>0                      QD 0151000G  52                                                      NO. 34 PT. B2</t>
        </is>
      </c>
      <c r="D195" t="inlineStr">
        <is>
          <t>Gmelins Handbuch der anorganischen chemie.</t>
        </is>
      </c>
      <c r="E195" t="inlineStr">
        <is>
          <t>NO. 34 PT. B2*</t>
        </is>
      </c>
      <c r="F195" t="inlineStr">
        <is>
          <t>Yes</t>
        </is>
      </c>
      <c r="G195" t="inlineStr">
        <is>
          <t>1</t>
        </is>
      </c>
      <c r="H195" t="inlineStr">
        <is>
          <t>No</t>
        </is>
      </c>
      <c r="I195" t="inlineStr">
        <is>
          <t>No</t>
        </is>
      </c>
      <c r="J195" t="inlineStr">
        <is>
          <t>0</t>
        </is>
      </c>
      <c r="L195" t="inlineStr">
        <is>
          <t>Leipzig-Berlin, Verlag Chemie g.m.b.h., 1924-</t>
        </is>
      </c>
      <c r="M195" t="inlineStr">
        <is>
          <t>1924</t>
        </is>
      </c>
      <c r="N195" t="inlineStr">
        <is>
          <t>8. aufl. Hrsg. von der Deutschen chemischen gesellschaft, bearb. von R.J. Meyer, unter beratender mitwirkung von Franz Peters.</t>
        </is>
      </c>
      <c r="O195" t="inlineStr">
        <is>
          <t>ger</t>
        </is>
      </c>
      <c r="P195" t="inlineStr">
        <is>
          <t xml:space="preserve">xx </t>
        </is>
      </c>
      <c r="R195" t="inlineStr">
        <is>
          <t xml:space="preserve">QD </t>
        </is>
      </c>
      <c r="S195" t="n">
        <v>1</v>
      </c>
      <c r="T195" t="n">
        <v>324</v>
      </c>
      <c r="U195" t="inlineStr">
        <is>
          <t>1998-07-27</t>
        </is>
      </c>
      <c r="V195" t="inlineStr">
        <is>
          <t>1998-07-28</t>
        </is>
      </c>
      <c r="W195" t="inlineStr">
        <is>
          <t>1997-06-03</t>
        </is>
      </c>
      <c r="X195" t="inlineStr">
        <is>
          <t>1998-06-24</t>
        </is>
      </c>
      <c r="Y195" t="n">
        <v>259</v>
      </c>
      <c r="Z195" t="n">
        <v>221</v>
      </c>
      <c r="AA195" t="n">
        <v>223</v>
      </c>
      <c r="AB195" t="n">
        <v>2</v>
      </c>
      <c r="AC195" t="n">
        <v>2</v>
      </c>
      <c r="AD195" t="n">
        <v>10</v>
      </c>
      <c r="AE195" t="n">
        <v>10</v>
      </c>
      <c r="AF195" t="n">
        <v>2</v>
      </c>
      <c r="AG195" t="n">
        <v>2</v>
      </c>
      <c r="AH195" t="n">
        <v>2</v>
      </c>
      <c r="AI195" t="n">
        <v>2</v>
      </c>
      <c r="AJ195" t="n">
        <v>8</v>
      </c>
      <c r="AK195" t="n">
        <v>8</v>
      </c>
      <c r="AL195" t="n">
        <v>1</v>
      </c>
      <c r="AM195" t="n">
        <v>1</v>
      </c>
      <c r="AN195" t="n">
        <v>0</v>
      </c>
      <c r="AO195" t="n">
        <v>0</v>
      </c>
      <c r="AP195" t="inlineStr">
        <is>
          <t>No</t>
        </is>
      </c>
      <c r="AQ195" t="inlineStr">
        <is>
          <t>Yes</t>
        </is>
      </c>
      <c r="AR195">
        <f>HYPERLINK("http://catalog.hathitrust.org/Record/009932175","HathiTrust Record")</f>
        <v/>
      </c>
      <c r="AS195">
        <f>HYPERLINK("https://creighton-primo.hosted.exlibrisgroup.com/primo-explore/search?tab=default_tab&amp;search_scope=EVERYTHING&amp;vid=01CRU&amp;lang=en_US&amp;offset=0&amp;query=any,contains,991005356889702656","Catalog Record")</f>
        <v/>
      </c>
      <c r="AT195">
        <f>HYPERLINK("http://www.worldcat.org/oclc/802031","WorldCat Record")</f>
        <v/>
      </c>
      <c r="AU195" t="inlineStr">
        <is>
          <t>4924721893:ger</t>
        </is>
      </c>
      <c r="AV195" t="inlineStr">
        <is>
          <t>802031</t>
        </is>
      </c>
      <c r="AW195" t="inlineStr">
        <is>
          <t>991005356889702656</t>
        </is>
      </c>
      <c r="AX195" t="inlineStr">
        <is>
          <t>991005356889702656</t>
        </is>
      </c>
      <c r="AY195" t="inlineStr">
        <is>
          <t>2270552310002656</t>
        </is>
      </c>
      <c r="AZ195" t="inlineStr">
        <is>
          <t>BOOK</t>
        </is>
      </c>
      <c r="BC195" t="inlineStr">
        <is>
          <t>32285002790334</t>
        </is>
      </c>
      <c r="BD195" t="inlineStr">
        <is>
          <t>893520957</t>
        </is>
      </c>
    </row>
    <row r="196">
      <c r="A196" t="inlineStr">
        <is>
          <t>No</t>
        </is>
      </c>
      <c r="B196" t="inlineStr">
        <is>
          <t>QD151 .G52 NO. 34 PT. B3</t>
        </is>
      </c>
      <c r="C196" t="inlineStr">
        <is>
          <t>0                      QD 0151000G  52                                                      NO. 34 PT. B3</t>
        </is>
      </c>
      <c r="D196" t="inlineStr">
        <is>
          <t>Gmelins Handbuch der anorganischen chemie.</t>
        </is>
      </c>
      <c r="E196" t="inlineStr">
        <is>
          <t>NO. 34 PT. B3*</t>
        </is>
      </c>
      <c r="F196" t="inlineStr">
        <is>
          <t>Yes</t>
        </is>
      </c>
      <c r="G196" t="inlineStr">
        <is>
          <t>1</t>
        </is>
      </c>
      <c r="H196" t="inlineStr">
        <is>
          <t>No</t>
        </is>
      </c>
      <c r="I196" t="inlineStr">
        <is>
          <t>No</t>
        </is>
      </c>
      <c r="J196" t="inlineStr">
        <is>
          <t>0</t>
        </is>
      </c>
      <c r="L196" t="inlineStr">
        <is>
          <t>Leipzig-Berlin, Verlag Chemie g.m.b.h., 1924-</t>
        </is>
      </c>
      <c r="M196" t="inlineStr">
        <is>
          <t>1924</t>
        </is>
      </c>
      <c r="N196" t="inlineStr">
        <is>
          <t>8. aufl. Hrsg. von der Deutschen chemischen gesellschaft, bearb. von R.J. Meyer, unter beratender mitwirkung von Franz Peters.</t>
        </is>
      </c>
      <c r="O196" t="inlineStr">
        <is>
          <t>ger</t>
        </is>
      </c>
      <c r="P196" t="inlineStr">
        <is>
          <t xml:space="preserve">xx </t>
        </is>
      </c>
      <c r="R196" t="inlineStr">
        <is>
          <t xml:space="preserve">QD </t>
        </is>
      </c>
      <c r="S196" t="n">
        <v>1</v>
      </c>
      <c r="T196" t="n">
        <v>324</v>
      </c>
      <c r="U196" t="inlineStr">
        <is>
          <t>1998-07-27</t>
        </is>
      </c>
      <c r="V196" t="inlineStr">
        <is>
          <t>1998-07-28</t>
        </is>
      </c>
      <c r="W196" t="inlineStr">
        <is>
          <t>1997-06-03</t>
        </is>
      </c>
      <c r="X196" t="inlineStr">
        <is>
          <t>1998-06-24</t>
        </is>
      </c>
      <c r="Y196" t="n">
        <v>259</v>
      </c>
      <c r="Z196" t="n">
        <v>221</v>
      </c>
      <c r="AA196" t="n">
        <v>223</v>
      </c>
      <c r="AB196" t="n">
        <v>2</v>
      </c>
      <c r="AC196" t="n">
        <v>2</v>
      </c>
      <c r="AD196" t="n">
        <v>10</v>
      </c>
      <c r="AE196" t="n">
        <v>10</v>
      </c>
      <c r="AF196" t="n">
        <v>2</v>
      </c>
      <c r="AG196" t="n">
        <v>2</v>
      </c>
      <c r="AH196" t="n">
        <v>2</v>
      </c>
      <c r="AI196" t="n">
        <v>2</v>
      </c>
      <c r="AJ196" t="n">
        <v>8</v>
      </c>
      <c r="AK196" t="n">
        <v>8</v>
      </c>
      <c r="AL196" t="n">
        <v>1</v>
      </c>
      <c r="AM196" t="n">
        <v>1</v>
      </c>
      <c r="AN196" t="n">
        <v>0</v>
      </c>
      <c r="AO196" t="n">
        <v>0</v>
      </c>
      <c r="AP196" t="inlineStr">
        <is>
          <t>No</t>
        </is>
      </c>
      <c r="AQ196" t="inlineStr">
        <is>
          <t>Yes</t>
        </is>
      </c>
      <c r="AR196">
        <f>HYPERLINK("http://catalog.hathitrust.org/Record/009932175","HathiTrust Record")</f>
        <v/>
      </c>
      <c r="AS196">
        <f>HYPERLINK("https://creighton-primo.hosted.exlibrisgroup.com/primo-explore/search?tab=default_tab&amp;search_scope=EVERYTHING&amp;vid=01CRU&amp;lang=en_US&amp;offset=0&amp;query=any,contains,991005356889702656","Catalog Record")</f>
        <v/>
      </c>
      <c r="AT196">
        <f>HYPERLINK("http://www.worldcat.org/oclc/802031","WorldCat Record")</f>
        <v/>
      </c>
      <c r="AU196" t="inlineStr">
        <is>
          <t>4924721893:ger</t>
        </is>
      </c>
      <c r="AV196" t="inlineStr">
        <is>
          <t>802031</t>
        </is>
      </c>
      <c r="AW196" t="inlineStr">
        <is>
          <t>991005356889702656</t>
        </is>
      </c>
      <c r="AX196" t="inlineStr">
        <is>
          <t>991005356889702656</t>
        </is>
      </c>
      <c r="AY196" t="inlineStr">
        <is>
          <t>2270552310002656</t>
        </is>
      </c>
      <c r="AZ196" t="inlineStr">
        <is>
          <t>BOOK</t>
        </is>
      </c>
      <c r="BC196" t="inlineStr">
        <is>
          <t>32285002790342</t>
        </is>
      </c>
      <c r="BD196" t="inlineStr">
        <is>
          <t>893520920</t>
        </is>
      </c>
    </row>
    <row r="197">
      <c r="A197" t="inlineStr">
        <is>
          <t>No</t>
        </is>
      </c>
      <c r="B197" t="inlineStr">
        <is>
          <t>QD151 .G52 NO. 34 PT. B4</t>
        </is>
      </c>
      <c r="C197" t="inlineStr">
        <is>
          <t>0                      QD 0151000G  52                                                      NO. 34 PT. B4</t>
        </is>
      </c>
      <c r="D197" t="inlineStr">
        <is>
          <t>Gmelins Handbuch der anorganischen chemie.</t>
        </is>
      </c>
      <c r="E197" t="inlineStr">
        <is>
          <t>NO. 34 PT. B4*</t>
        </is>
      </c>
      <c r="F197" t="inlineStr">
        <is>
          <t>Yes</t>
        </is>
      </c>
      <c r="G197" t="inlineStr">
        <is>
          <t>1</t>
        </is>
      </c>
      <c r="H197" t="inlineStr">
        <is>
          <t>No</t>
        </is>
      </c>
      <c r="I197" t="inlineStr">
        <is>
          <t>No</t>
        </is>
      </c>
      <c r="J197" t="inlineStr">
        <is>
          <t>0</t>
        </is>
      </c>
      <c r="L197" t="inlineStr">
        <is>
          <t>Leipzig-Berlin, Verlag Chemie g.m.b.h., 1924-</t>
        </is>
      </c>
      <c r="M197" t="inlineStr">
        <is>
          <t>1924</t>
        </is>
      </c>
      <c r="N197" t="inlineStr">
        <is>
          <t>8. aufl. Hrsg. von der Deutschen chemischen gesellschaft, bearb. von R.J. Meyer, unter beratender mitwirkung von Franz Peters.</t>
        </is>
      </c>
      <c r="O197" t="inlineStr">
        <is>
          <t>ger</t>
        </is>
      </c>
      <c r="P197" t="inlineStr">
        <is>
          <t xml:space="preserve">xx </t>
        </is>
      </c>
      <c r="R197" t="inlineStr">
        <is>
          <t xml:space="preserve">QD </t>
        </is>
      </c>
      <c r="S197" t="n">
        <v>1</v>
      </c>
      <c r="T197" t="n">
        <v>324</v>
      </c>
      <c r="U197" t="inlineStr">
        <is>
          <t>1998-07-27</t>
        </is>
      </c>
      <c r="V197" t="inlineStr">
        <is>
          <t>1998-07-28</t>
        </is>
      </c>
      <c r="W197" t="inlineStr">
        <is>
          <t>1997-06-03</t>
        </is>
      </c>
      <c r="X197" t="inlineStr">
        <is>
          <t>1998-06-24</t>
        </is>
      </c>
      <c r="Y197" t="n">
        <v>259</v>
      </c>
      <c r="Z197" t="n">
        <v>221</v>
      </c>
      <c r="AA197" t="n">
        <v>223</v>
      </c>
      <c r="AB197" t="n">
        <v>2</v>
      </c>
      <c r="AC197" t="n">
        <v>2</v>
      </c>
      <c r="AD197" t="n">
        <v>10</v>
      </c>
      <c r="AE197" t="n">
        <v>10</v>
      </c>
      <c r="AF197" t="n">
        <v>2</v>
      </c>
      <c r="AG197" t="n">
        <v>2</v>
      </c>
      <c r="AH197" t="n">
        <v>2</v>
      </c>
      <c r="AI197" t="n">
        <v>2</v>
      </c>
      <c r="AJ197" t="n">
        <v>8</v>
      </c>
      <c r="AK197" t="n">
        <v>8</v>
      </c>
      <c r="AL197" t="n">
        <v>1</v>
      </c>
      <c r="AM197" t="n">
        <v>1</v>
      </c>
      <c r="AN197" t="n">
        <v>0</v>
      </c>
      <c r="AO197" t="n">
        <v>0</v>
      </c>
      <c r="AP197" t="inlineStr">
        <is>
          <t>No</t>
        </is>
      </c>
      <c r="AQ197" t="inlineStr">
        <is>
          <t>Yes</t>
        </is>
      </c>
      <c r="AR197">
        <f>HYPERLINK("http://catalog.hathitrust.org/Record/009932175","HathiTrust Record")</f>
        <v/>
      </c>
      <c r="AS197">
        <f>HYPERLINK("https://creighton-primo.hosted.exlibrisgroup.com/primo-explore/search?tab=default_tab&amp;search_scope=EVERYTHING&amp;vid=01CRU&amp;lang=en_US&amp;offset=0&amp;query=any,contains,991005356889702656","Catalog Record")</f>
        <v/>
      </c>
      <c r="AT197">
        <f>HYPERLINK("http://www.worldcat.org/oclc/802031","WorldCat Record")</f>
        <v/>
      </c>
      <c r="AU197" t="inlineStr">
        <is>
          <t>4924721893:ger</t>
        </is>
      </c>
      <c r="AV197" t="inlineStr">
        <is>
          <t>802031</t>
        </is>
      </c>
      <c r="AW197" t="inlineStr">
        <is>
          <t>991005356889702656</t>
        </is>
      </c>
      <c r="AX197" t="inlineStr">
        <is>
          <t>991005356889702656</t>
        </is>
      </c>
      <c r="AY197" t="inlineStr">
        <is>
          <t>2270552310002656</t>
        </is>
      </c>
      <c r="AZ197" t="inlineStr">
        <is>
          <t>BOOK</t>
        </is>
      </c>
      <c r="BC197" t="inlineStr">
        <is>
          <t>32285002790359</t>
        </is>
      </c>
      <c r="BD197" t="inlineStr">
        <is>
          <t>893501770</t>
        </is>
      </c>
    </row>
    <row r="198">
      <c r="A198" t="inlineStr">
        <is>
          <t>No</t>
        </is>
      </c>
      <c r="B198" t="inlineStr">
        <is>
          <t>QD151 .G52 NO. 35 PT. A1</t>
        </is>
      </c>
      <c r="C198" t="inlineStr">
        <is>
          <t>0                      QD 0151000G  52                                                      NO. 35 PT. A1</t>
        </is>
      </c>
      <c r="D198" t="inlineStr">
        <is>
          <t>Gmelins Handbuch der anorganischen chemie.</t>
        </is>
      </c>
      <c r="E198" t="inlineStr">
        <is>
          <t>NO. 35 PT. A1*</t>
        </is>
      </c>
      <c r="F198" t="inlineStr">
        <is>
          <t>Yes</t>
        </is>
      </c>
      <c r="G198" t="inlineStr">
        <is>
          <t>1</t>
        </is>
      </c>
      <c r="H198" t="inlineStr">
        <is>
          <t>No</t>
        </is>
      </c>
      <c r="I198" t="inlineStr">
        <is>
          <t>No</t>
        </is>
      </c>
      <c r="J198" t="inlineStr">
        <is>
          <t>0</t>
        </is>
      </c>
      <c r="L198" t="inlineStr">
        <is>
          <t>Leipzig-Berlin, Verlag Chemie g.m.b.h., 1924-</t>
        </is>
      </c>
      <c r="M198" t="inlineStr">
        <is>
          <t>1924</t>
        </is>
      </c>
      <c r="N198" t="inlineStr">
        <is>
          <t>8. aufl. Hrsg. von der Deutschen chemischen gesellschaft, bearb. von R.J. Meyer, unter beratender mitwirkung von Franz Peters.</t>
        </is>
      </c>
      <c r="O198" t="inlineStr">
        <is>
          <t>ger</t>
        </is>
      </c>
      <c r="P198" t="inlineStr">
        <is>
          <t xml:space="preserve">xx </t>
        </is>
      </c>
      <c r="R198" t="inlineStr">
        <is>
          <t xml:space="preserve">QD </t>
        </is>
      </c>
      <c r="S198" t="n">
        <v>1</v>
      </c>
      <c r="T198" t="n">
        <v>324</v>
      </c>
      <c r="U198" t="inlineStr">
        <is>
          <t>1998-07-27</t>
        </is>
      </c>
      <c r="V198" t="inlineStr">
        <is>
          <t>1998-07-28</t>
        </is>
      </c>
      <c r="W198" t="inlineStr">
        <is>
          <t>1997-06-03</t>
        </is>
      </c>
      <c r="X198" t="inlineStr">
        <is>
          <t>1998-06-24</t>
        </is>
      </c>
      <c r="Y198" t="n">
        <v>259</v>
      </c>
      <c r="Z198" t="n">
        <v>221</v>
      </c>
      <c r="AA198" t="n">
        <v>223</v>
      </c>
      <c r="AB198" t="n">
        <v>2</v>
      </c>
      <c r="AC198" t="n">
        <v>2</v>
      </c>
      <c r="AD198" t="n">
        <v>10</v>
      </c>
      <c r="AE198" t="n">
        <v>10</v>
      </c>
      <c r="AF198" t="n">
        <v>2</v>
      </c>
      <c r="AG198" t="n">
        <v>2</v>
      </c>
      <c r="AH198" t="n">
        <v>2</v>
      </c>
      <c r="AI198" t="n">
        <v>2</v>
      </c>
      <c r="AJ198" t="n">
        <v>8</v>
      </c>
      <c r="AK198" t="n">
        <v>8</v>
      </c>
      <c r="AL198" t="n">
        <v>1</v>
      </c>
      <c r="AM198" t="n">
        <v>1</v>
      </c>
      <c r="AN198" t="n">
        <v>0</v>
      </c>
      <c r="AO198" t="n">
        <v>0</v>
      </c>
      <c r="AP198" t="inlineStr">
        <is>
          <t>No</t>
        </is>
      </c>
      <c r="AQ198" t="inlineStr">
        <is>
          <t>Yes</t>
        </is>
      </c>
      <c r="AR198">
        <f>HYPERLINK("http://catalog.hathitrust.org/Record/009932175","HathiTrust Record")</f>
        <v/>
      </c>
      <c r="AS198">
        <f>HYPERLINK("https://creighton-primo.hosted.exlibrisgroup.com/primo-explore/search?tab=default_tab&amp;search_scope=EVERYTHING&amp;vid=01CRU&amp;lang=en_US&amp;offset=0&amp;query=any,contains,991005356889702656","Catalog Record")</f>
        <v/>
      </c>
      <c r="AT198">
        <f>HYPERLINK("http://www.worldcat.org/oclc/802031","WorldCat Record")</f>
        <v/>
      </c>
      <c r="AU198" t="inlineStr">
        <is>
          <t>4924721893:ger</t>
        </is>
      </c>
      <c r="AV198" t="inlineStr">
        <is>
          <t>802031</t>
        </is>
      </c>
      <c r="AW198" t="inlineStr">
        <is>
          <t>991005356889702656</t>
        </is>
      </c>
      <c r="AX198" t="inlineStr">
        <is>
          <t>991005356889702656</t>
        </is>
      </c>
      <c r="AY198" t="inlineStr">
        <is>
          <t>2270552310002656</t>
        </is>
      </c>
      <c r="AZ198" t="inlineStr">
        <is>
          <t>BOOK</t>
        </is>
      </c>
      <c r="BC198" t="inlineStr">
        <is>
          <t>32285002790367</t>
        </is>
      </c>
      <c r="BD198" t="inlineStr">
        <is>
          <t>893508052</t>
        </is>
      </c>
    </row>
    <row r="199">
      <c r="A199" t="inlineStr">
        <is>
          <t>No</t>
        </is>
      </c>
      <c r="B199" t="inlineStr">
        <is>
          <t>QD151 .G52 NO. 35 PT. A2</t>
        </is>
      </c>
      <c r="C199" t="inlineStr">
        <is>
          <t>0                      QD 0151000G  52                                                      NO. 35 PT. A2</t>
        </is>
      </c>
      <c r="D199" t="inlineStr">
        <is>
          <t>Gmelins Handbuch der anorganischen chemie.</t>
        </is>
      </c>
      <c r="E199" t="inlineStr">
        <is>
          <t>NO. 35 PT. A2*</t>
        </is>
      </c>
      <c r="F199" t="inlineStr">
        <is>
          <t>Yes</t>
        </is>
      </c>
      <c r="G199" t="inlineStr">
        <is>
          <t>1</t>
        </is>
      </c>
      <c r="H199" t="inlineStr">
        <is>
          <t>No</t>
        </is>
      </c>
      <c r="I199" t="inlineStr">
        <is>
          <t>No</t>
        </is>
      </c>
      <c r="J199" t="inlineStr">
        <is>
          <t>0</t>
        </is>
      </c>
      <c r="L199" t="inlineStr">
        <is>
          <t>Leipzig-Berlin, Verlag Chemie g.m.b.h., 1924-</t>
        </is>
      </c>
      <c r="M199" t="inlineStr">
        <is>
          <t>1924</t>
        </is>
      </c>
      <c r="N199" t="inlineStr">
        <is>
          <t>8. aufl. Hrsg. von der Deutschen chemischen gesellschaft, bearb. von R.J. Meyer, unter beratender mitwirkung von Franz Peters.</t>
        </is>
      </c>
      <c r="O199" t="inlineStr">
        <is>
          <t>ger</t>
        </is>
      </c>
      <c r="P199" t="inlineStr">
        <is>
          <t xml:space="preserve">xx </t>
        </is>
      </c>
      <c r="R199" t="inlineStr">
        <is>
          <t xml:space="preserve">QD </t>
        </is>
      </c>
      <c r="S199" t="n">
        <v>1</v>
      </c>
      <c r="T199" t="n">
        <v>324</v>
      </c>
      <c r="U199" t="inlineStr">
        <is>
          <t>1998-07-27</t>
        </is>
      </c>
      <c r="V199" t="inlineStr">
        <is>
          <t>1998-07-28</t>
        </is>
      </c>
      <c r="W199" t="inlineStr">
        <is>
          <t>1997-06-03</t>
        </is>
      </c>
      <c r="X199" t="inlineStr">
        <is>
          <t>1998-06-24</t>
        </is>
      </c>
      <c r="Y199" t="n">
        <v>259</v>
      </c>
      <c r="Z199" t="n">
        <v>221</v>
      </c>
      <c r="AA199" t="n">
        <v>223</v>
      </c>
      <c r="AB199" t="n">
        <v>2</v>
      </c>
      <c r="AC199" t="n">
        <v>2</v>
      </c>
      <c r="AD199" t="n">
        <v>10</v>
      </c>
      <c r="AE199" t="n">
        <v>10</v>
      </c>
      <c r="AF199" t="n">
        <v>2</v>
      </c>
      <c r="AG199" t="n">
        <v>2</v>
      </c>
      <c r="AH199" t="n">
        <v>2</v>
      </c>
      <c r="AI199" t="n">
        <v>2</v>
      </c>
      <c r="AJ199" t="n">
        <v>8</v>
      </c>
      <c r="AK199" t="n">
        <v>8</v>
      </c>
      <c r="AL199" t="n">
        <v>1</v>
      </c>
      <c r="AM199" t="n">
        <v>1</v>
      </c>
      <c r="AN199" t="n">
        <v>0</v>
      </c>
      <c r="AO199" t="n">
        <v>0</v>
      </c>
      <c r="AP199" t="inlineStr">
        <is>
          <t>No</t>
        </is>
      </c>
      <c r="AQ199" t="inlineStr">
        <is>
          <t>Yes</t>
        </is>
      </c>
      <c r="AR199">
        <f>HYPERLINK("http://catalog.hathitrust.org/Record/009932175","HathiTrust Record")</f>
        <v/>
      </c>
      <c r="AS199">
        <f>HYPERLINK("https://creighton-primo.hosted.exlibrisgroup.com/primo-explore/search?tab=default_tab&amp;search_scope=EVERYTHING&amp;vid=01CRU&amp;lang=en_US&amp;offset=0&amp;query=any,contains,991005356889702656","Catalog Record")</f>
        <v/>
      </c>
      <c r="AT199">
        <f>HYPERLINK("http://www.worldcat.org/oclc/802031","WorldCat Record")</f>
        <v/>
      </c>
      <c r="AU199" t="inlineStr">
        <is>
          <t>4924721893:ger</t>
        </is>
      </c>
      <c r="AV199" t="inlineStr">
        <is>
          <t>802031</t>
        </is>
      </c>
      <c r="AW199" t="inlineStr">
        <is>
          <t>991005356889702656</t>
        </is>
      </c>
      <c r="AX199" t="inlineStr">
        <is>
          <t>991005356889702656</t>
        </is>
      </c>
      <c r="AY199" t="inlineStr">
        <is>
          <t>2270552310002656</t>
        </is>
      </c>
      <c r="AZ199" t="inlineStr">
        <is>
          <t>BOOK</t>
        </is>
      </c>
      <c r="BC199" t="inlineStr">
        <is>
          <t>32285002790375</t>
        </is>
      </c>
      <c r="BD199" t="inlineStr">
        <is>
          <t>893527393</t>
        </is>
      </c>
    </row>
    <row r="200">
      <c r="A200" t="inlineStr">
        <is>
          <t>No</t>
        </is>
      </c>
      <c r="B200" t="inlineStr">
        <is>
          <t>QD151 .G52 NO. 35 PT. A3</t>
        </is>
      </c>
      <c r="C200" t="inlineStr">
        <is>
          <t>0                      QD 0151000G  52                                                      NO. 35 PT. A3</t>
        </is>
      </c>
      <c r="D200" t="inlineStr">
        <is>
          <t>Gmelins Handbuch der anorganischen chemie.</t>
        </is>
      </c>
      <c r="E200" t="inlineStr">
        <is>
          <t>NO. 35 PT. A3*</t>
        </is>
      </c>
      <c r="F200" t="inlineStr">
        <is>
          <t>Yes</t>
        </is>
      </c>
      <c r="G200" t="inlineStr">
        <is>
          <t>1</t>
        </is>
      </c>
      <c r="H200" t="inlineStr">
        <is>
          <t>No</t>
        </is>
      </c>
      <c r="I200" t="inlineStr">
        <is>
          <t>No</t>
        </is>
      </c>
      <c r="J200" t="inlineStr">
        <is>
          <t>0</t>
        </is>
      </c>
      <c r="L200" t="inlineStr">
        <is>
          <t>Leipzig-Berlin, Verlag Chemie g.m.b.h., 1924-</t>
        </is>
      </c>
      <c r="M200" t="inlineStr">
        <is>
          <t>1924</t>
        </is>
      </c>
      <c r="N200" t="inlineStr">
        <is>
          <t>8. aufl. Hrsg. von der Deutschen chemischen gesellschaft, bearb. von R.J. Meyer, unter beratender mitwirkung von Franz Peters.</t>
        </is>
      </c>
      <c r="O200" t="inlineStr">
        <is>
          <t>ger</t>
        </is>
      </c>
      <c r="P200" t="inlineStr">
        <is>
          <t xml:space="preserve">xx </t>
        </is>
      </c>
      <c r="R200" t="inlineStr">
        <is>
          <t xml:space="preserve">QD </t>
        </is>
      </c>
      <c r="S200" t="n">
        <v>1</v>
      </c>
      <c r="T200" t="n">
        <v>324</v>
      </c>
      <c r="U200" t="inlineStr">
        <is>
          <t>1998-07-27</t>
        </is>
      </c>
      <c r="V200" t="inlineStr">
        <is>
          <t>1998-07-28</t>
        </is>
      </c>
      <c r="W200" t="inlineStr">
        <is>
          <t>1997-06-03</t>
        </is>
      </c>
      <c r="X200" t="inlineStr">
        <is>
          <t>1998-06-24</t>
        </is>
      </c>
      <c r="Y200" t="n">
        <v>259</v>
      </c>
      <c r="Z200" t="n">
        <v>221</v>
      </c>
      <c r="AA200" t="n">
        <v>223</v>
      </c>
      <c r="AB200" t="n">
        <v>2</v>
      </c>
      <c r="AC200" t="n">
        <v>2</v>
      </c>
      <c r="AD200" t="n">
        <v>10</v>
      </c>
      <c r="AE200" t="n">
        <v>10</v>
      </c>
      <c r="AF200" t="n">
        <v>2</v>
      </c>
      <c r="AG200" t="n">
        <v>2</v>
      </c>
      <c r="AH200" t="n">
        <v>2</v>
      </c>
      <c r="AI200" t="n">
        <v>2</v>
      </c>
      <c r="AJ200" t="n">
        <v>8</v>
      </c>
      <c r="AK200" t="n">
        <v>8</v>
      </c>
      <c r="AL200" t="n">
        <v>1</v>
      </c>
      <c r="AM200" t="n">
        <v>1</v>
      </c>
      <c r="AN200" t="n">
        <v>0</v>
      </c>
      <c r="AO200" t="n">
        <v>0</v>
      </c>
      <c r="AP200" t="inlineStr">
        <is>
          <t>No</t>
        </is>
      </c>
      <c r="AQ200" t="inlineStr">
        <is>
          <t>Yes</t>
        </is>
      </c>
      <c r="AR200">
        <f>HYPERLINK("http://catalog.hathitrust.org/Record/009932175","HathiTrust Record")</f>
        <v/>
      </c>
      <c r="AS200">
        <f>HYPERLINK("https://creighton-primo.hosted.exlibrisgroup.com/primo-explore/search?tab=default_tab&amp;search_scope=EVERYTHING&amp;vid=01CRU&amp;lang=en_US&amp;offset=0&amp;query=any,contains,991005356889702656","Catalog Record")</f>
        <v/>
      </c>
      <c r="AT200">
        <f>HYPERLINK("http://www.worldcat.org/oclc/802031","WorldCat Record")</f>
        <v/>
      </c>
      <c r="AU200" t="inlineStr">
        <is>
          <t>4924721893:ger</t>
        </is>
      </c>
      <c r="AV200" t="inlineStr">
        <is>
          <t>802031</t>
        </is>
      </c>
      <c r="AW200" t="inlineStr">
        <is>
          <t>991005356889702656</t>
        </is>
      </c>
      <c r="AX200" t="inlineStr">
        <is>
          <t>991005356889702656</t>
        </is>
      </c>
      <c r="AY200" t="inlineStr">
        <is>
          <t>2270552310002656</t>
        </is>
      </c>
      <c r="AZ200" t="inlineStr">
        <is>
          <t>BOOK</t>
        </is>
      </c>
      <c r="BC200" t="inlineStr">
        <is>
          <t>32285002790391</t>
        </is>
      </c>
      <c r="BD200" t="inlineStr">
        <is>
          <t>893520956</t>
        </is>
      </c>
    </row>
    <row r="201">
      <c r="A201" t="inlineStr">
        <is>
          <t>No</t>
        </is>
      </c>
      <c r="B201" t="inlineStr">
        <is>
          <t>QD151 .G52 NO. 35 PT. A4</t>
        </is>
      </c>
      <c r="C201" t="inlineStr">
        <is>
          <t>0                      QD 0151000G  52                                                      NO. 35 PT. A4</t>
        </is>
      </c>
      <c r="D201" t="inlineStr">
        <is>
          <t>Gmelins Handbuch der anorganischen chemie.</t>
        </is>
      </c>
      <c r="E201" t="inlineStr">
        <is>
          <t>NO. 35 PT. A4*</t>
        </is>
      </c>
      <c r="F201" t="inlineStr">
        <is>
          <t>Yes</t>
        </is>
      </c>
      <c r="G201" t="inlineStr">
        <is>
          <t>1</t>
        </is>
      </c>
      <c r="H201" t="inlineStr">
        <is>
          <t>No</t>
        </is>
      </c>
      <c r="I201" t="inlineStr">
        <is>
          <t>No</t>
        </is>
      </c>
      <c r="J201" t="inlineStr">
        <is>
          <t>0</t>
        </is>
      </c>
      <c r="L201" t="inlineStr">
        <is>
          <t>Leipzig-Berlin, Verlag Chemie g.m.b.h., 1924-</t>
        </is>
      </c>
      <c r="M201" t="inlineStr">
        <is>
          <t>1924</t>
        </is>
      </c>
      <c r="N201" t="inlineStr">
        <is>
          <t>8. aufl. Hrsg. von der Deutschen chemischen gesellschaft, bearb. von R.J. Meyer, unter beratender mitwirkung von Franz Peters.</t>
        </is>
      </c>
      <c r="O201" t="inlineStr">
        <is>
          <t>ger</t>
        </is>
      </c>
      <c r="P201" t="inlineStr">
        <is>
          <t xml:space="preserve">xx </t>
        </is>
      </c>
      <c r="R201" t="inlineStr">
        <is>
          <t xml:space="preserve">QD </t>
        </is>
      </c>
      <c r="S201" t="n">
        <v>1</v>
      </c>
      <c r="T201" t="n">
        <v>324</v>
      </c>
      <c r="U201" t="inlineStr">
        <is>
          <t>1998-07-27</t>
        </is>
      </c>
      <c r="V201" t="inlineStr">
        <is>
          <t>1998-07-28</t>
        </is>
      </c>
      <c r="W201" t="inlineStr">
        <is>
          <t>1997-06-03</t>
        </is>
      </c>
      <c r="X201" t="inlineStr">
        <is>
          <t>1998-06-24</t>
        </is>
      </c>
      <c r="Y201" t="n">
        <v>259</v>
      </c>
      <c r="Z201" t="n">
        <v>221</v>
      </c>
      <c r="AA201" t="n">
        <v>223</v>
      </c>
      <c r="AB201" t="n">
        <v>2</v>
      </c>
      <c r="AC201" t="n">
        <v>2</v>
      </c>
      <c r="AD201" t="n">
        <v>10</v>
      </c>
      <c r="AE201" t="n">
        <v>10</v>
      </c>
      <c r="AF201" t="n">
        <v>2</v>
      </c>
      <c r="AG201" t="n">
        <v>2</v>
      </c>
      <c r="AH201" t="n">
        <v>2</v>
      </c>
      <c r="AI201" t="n">
        <v>2</v>
      </c>
      <c r="AJ201" t="n">
        <v>8</v>
      </c>
      <c r="AK201" t="n">
        <v>8</v>
      </c>
      <c r="AL201" t="n">
        <v>1</v>
      </c>
      <c r="AM201" t="n">
        <v>1</v>
      </c>
      <c r="AN201" t="n">
        <v>0</v>
      </c>
      <c r="AO201" t="n">
        <v>0</v>
      </c>
      <c r="AP201" t="inlineStr">
        <is>
          <t>No</t>
        </is>
      </c>
      <c r="AQ201" t="inlineStr">
        <is>
          <t>Yes</t>
        </is>
      </c>
      <c r="AR201">
        <f>HYPERLINK("http://catalog.hathitrust.org/Record/009932175","HathiTrust Record")</f>
        <v/>
      </c>
      <c r="AS201">
        <f>HYPERLINK("https://creighton-primo.hosted.exlibrisgroup.com/primo-explore/search?tab=default_tab&amp;search_scope=EVERYTHING&amp;vid=01CRU&amp;lang=en_US&amp;offset=0&amp;query=any,contains,991005356889702656","Catalog Record")</f>
        <v/>
      </c>
      <c r="AT201">
        <f>HYPERLINK("http://www.worldcat.org/oclc/802031","WorldCat Record")</f>
        <v/>
      </c>
      <c r="AU201" t="inlineStr">
        <is>
          <t>4924721893:ger</t>
        </is>
      </c>
      <c r="AV201" t="inlineStr">
        <is>
          <t>802031</t>
        </is>
      </c>
      <c r="AW201" t="inlineStr">
        <is>
          <t>991005356889702656</t>
        </is>
      </c>
      <c r="AX201" t="inlineStr">
        <is>
          <t>991005356889702656</t>
        </is>
      </c>
      <c r="AY201" t="inlineStr">
        <is>
          <t>2270552310002656</t>
        </is>
      </c>
      <c r="AZ201" t="inlineStr">
        <is>
          <t>BOOK</t>
        </is>
      </c>
      <c r="BC201" t="inlineStr">
        <is>
          <t>32285002790383</t>
        </is>
      </c>
      <c r="BD201" t="inlineStr">
        <is>
          <t>893501760</t>
        </is>
      </c>
    </row>
    <row r="202">
      <c r="A202" t="inlineStr">
        <is>
          <t>No</t>
        </is>
      </c>
      <c r="B202" t="inlineStr">
        <is>
          <t>QD151 .G52 NO. 35 PT. A5</t>
        </is>
      </c>
      <c r="C202" t="inlineStr">
        <is>
          <t>0                      QD 0151000G  52                                                      NO. 35 PT. A5</t>
        </is>
      </c>
      <c r="D202" t="inlineStr">
        <is>
          <t>Gmelins Handbuch der anorganischen chemie.</t>
        </is>
      </c>
      <c r="E202" t="inlineStr">
        <is>
          <t>NO. 35 PT. A5*</t>
        </is>
      </c>
      <c r="F202" t="inlineStr">
        <is>
          <t>Yes</t>
        </is>
      </c>
      <c r="G202" t="inlineStr">
        <is>
          <t>1</t>
        </is>
      </c>
      <c r="H202" t="inlineStr">
        <is>
          <t>No</t>
        </is>
      </c>
      <c r="I202" t="inlineStr">
        <is>
          <t>No</t>
        </is>
      </c>
      <c r="J202" t="inlineStr">
        <is>
          <t>0</t>
        </is>
      </c>
      <c r="L202" t="inlineStr">
        <is>
          <t>Leipzig-Berlin, Verlag Chemie g.m.b.h., 1924-</t>
        </is>
      </c>
      <c r="M202" t="inlineStr">
        <is>
          <t>1924</t>
        </is>
      </c>
      <c r="N202" t="inlineStr">
        <is>
          <t>8. aufl. Hrsg. von der Deutschen chemischen gesellschaft, bearb. von R.J. Meyer, unter beratender mitwirkung von Franz Peters.</t>
        </is>
      </c>
      <c r="O202" t="inlineStr">
        <is>
          <t>ger</t>
        </is>
      </c>
      <c r="P202" t="inlineStr">
        <is>
          <t xml:space="preserve">xx </t>
        </is>
      </c>
      <c r="R202" t="inlineStr">
        <is>
          <t xml:space="preserve">QD </t>
        </is>
      </c>
      <c r="S202" t="n">
        <v>1</v>
      </c>
      <c r="T202" t="n">
        <v>324</v>
      </c>
      <c r="U202" t="inlineStr">
        <is>
          <t>1998-07-27</t>
        </is>
      </c>
      <c r="V202" t="inlineStr">
        <is>
          <t>1998-07-28</t>
        </is>
      </c>
      <c r="W202" t="inlineStr">
        <is>
          <t>1997-06-03</t>
        </is>
      </c>
      <c r="X202" t="inlineStr">
        <is>
          <t>1998-06-24</t>
        </is>
      </c>
      <c r="Y202" t="n">
        <v>259</v>
      </c>
      <c r="Z202" t="n">
        <v>221</v>
      </c>
      <c r="AA202" t="n">
        <v>223</v>
      </c>
      <c r="AB202" t="n">
        <v>2</v>
      </c>
      <c r="AC202" t="n">
        <v>2</v>
      </c>
      <c r="AD202" t="n">
        <v>10</v>
      </c>
      <c r="AE202" t="n">
        <v>10</v>
      </c>
      <c r="AF202" t="n">
        <v>2</v>
      </c>
      <c r="AG202" t="n">
        <v>2</v>
      </c>
      <c r="AH202" t="n">
        <v>2</v>
      </c>
      <c r="AI202" t="n">
        <v>2</v>
      </c>
      <c r="AJ202" t="n">
        <v>8</v>
      </c>
      <c r="AK202" t="n">
        <v>8</v>
      </c>
      <c r="AL202" t="n">
        <v>1</v>
      </c>
      <c r="AM202" t="n">
        <v>1</v>
      </c>
      <c r="AN202" t="n">
        <v>0</v>
      </c>
      <c r="AO202" t="n">
        <v>0</v>
      </c>
      <c r="AP202" t="inlineStr">
        <is>
          <t>No</t>
        </is>
      </c>
      <c r="AQ202" t="inlineStr">
        <is>
          <t>Yes</t>
        </is>
      </c>
      <c r="AR202">
        <f>HYPERLINK("http://catalog.hathitrust.org/Record/009932175","HathiTrust Record")</f>
        <v/>
      </c>
      <c r="AS202">
        <f>HYPERLINK("https://creighton-primo.hosted.exlibrisgroup.com/primo-explore/search?tab=default_tab&amp;search_scope=EVERYTHING&amp;vid=01CRU&amp;lang=en_US&amp;offset=0&amp;query=any,contains,991005356889702656","Catalog Record")</f>
        <v/>
      </c>
      <c r="AT202">
        <f>HYPERLINK("http://www.worldcat.org/oclc/802031","WorldCat Record")</f>
        <v/>
      </c>
      <c r="AU202" t="inlineStr">
        <is>
          <t>4924721893:ger</t>
        </is>
      </c>
      <c r="AV202" t="inlineStr">
        <is>
          <t>802031</t>
        </is>
      </c>
      <c r="AW202" t="inlineStr">
        <is>
          <t>991005356889702656</t>
        </is>
      </c>
      <c r="AX202" t="inlineStr">
        <is>
          <t>991005356889702656</t>
        </is>
      </c>
      <c r="AY202" t="inlineStr">
        <is>
          <t>2270552310002656</t>
        </is>
      </c>
      <c r="AZ202" t="inlineStr">
        <is>
          <t>BOOK</t>
        </is>
      </c>
      <c r="BC202" t="inlineStr">
        <is>
          <t>32285002790409</t>
        </is>
      </c>
      <c r="BD202" t="inlineStr">
        <is>
          <t>893527412</t>
        </is>
      </c>
    </row>
    <row r="203">
      <c r="A203" t="inlineStr">
        <is>
          <t>No</t>
        </is>
      </c>
      <c r="B203" t="inlineStr">
        <is>
          <t>QD151 .G52 NO. 35 PT. A6</t>
        </is>
      </c>
      <c r="C203" t="inlineStr">
        <is>
          <t>0                      QD 0151000G  52                                                      NO. 35 PT. A6</t>
        </is>
      </c>
      <c r="D203" t="inlineStr">
        <is>
          <t>Gmelins Handbuch der anorganischen chemie.</t>
        </is>
      </c>
      <c r="E203" t="inlineStr">
        <is>
          <t>NO. 35 PT. A6*</t>
        </is>
      </c>
      <c r="F203" t="inlineStr">
        <is>
          <t>Yes</t>
        </is>
      </c>
      <c r="G203" t="inlineStr">
        <is>
          <t>1</t>
        </is>
      </c>
      <c r="H203" t="inlineStr">
        <is>
          <t>No</t>
        </is>
      </c>
      <c r="I203" t="inlineStr">
        <is>
          <t>No</t>
        </is>
      </c>
      <c r="J203" t="inlineStr">
        <is>
          <t>0</t>
        </is>
      </c>
      <c r="L203" t="inlineStr">
        <is>
          <t>Leipzig-Berlin, Verlag Chemie g.m.b.h., 1924-</t>
        </is>
      </c>
      <c r="M203" t="inlineStr">
        <is>
          <t>1924</t>
        </is>
      </c>
      <c r="N203" t="inlineStr">
        <is>
          <t>8. aufl. Hrsg. von der Deutschen chemischen gesellschaft, bearb. von R.J. Meyer, unter beratender mitwirkung von Franz Peters.</t>
        </is>
      </c>
      <c r="O203" t="inlineStr">
        <is>
          <t>ger</t>
        </is>
      </c>
      <c r="P203" t="inlineStr">
        <is>
          <t xml:space="preserve">xx </t>
        </is>
      </c>
      <c r="R203" t="inlineStr">
        <is>
          <t xml:space="preserve">QD </t>
        </is>
      </c>
      <c r="S203" t="n">
        <v>1</v>
      </c>
      <c r="T203" t="n">
        <v>324</v>
      </c>
      <c r="U203" t="inlineStr">
        <is>
          <t>1998-07-27</t>
        </is>
      </c>
      <c r="V203" t="inlineStr">
        <is>
          <t>1998-07-28</t>
        </is>
      </c>
      <c r="W203" t="inlineStr">
        <is>
          <t>1997-06-03</t>
        </is>
      </c>
      <c r="X203" t="inlineStr">
        <is>
          <t>1998-06-24</t>
        </is>
      </c>
      <c r="Y203" t="n">
        <v>259</v>
      </c>
      <c r="Z203" t="n">
        <v>221</v>
      </c>
      <c r="AA203" t="n">
        <v>223</v>
      </c>
      <c r="AB203" t="n">
        <v>2</v>
      </c>
      <c r="AC203" t="n">
        <v>2</v>
      </c>
      <c r="AD203" t="n">
        <v>10</v>
      </c>
      <c r="AE203" t="n">
        <v>10</v>
      </c>
      <c r="AF203" t="n">
        <v>2</v>
      </c>
      <c r="AG203" t="n">
        <v>2</v>
      </c>
      <c r="AH203" t="n">
        <v>2</v>
      </c>
      <c r="AI203" t="n">
        <v>2</v>
      </c>
      <c r="AJ203" t="n">
        <v>8</v>
      </c>
      <c r="AK203" t="n">
        <v>8</v>
      </c>
      <c r="AL203" t="n">
        <v>1</v>
      </c>
      <c r="AM203" t="n">
        <v>1</v>
      </c>
      <c r="AN203" t="n">
        <v>0</v>
      </c>
      <c r="AO203" t="n">
        <v>0</v>
      </c>
      <c r="AP203" t="inlineStr">
        <is>
          <t>No</t>
        </is>
      </c>
      <c r="AQ203" t="inlineStr">
        <is>
          <t>Yes</t>
        </is>
      </c>
      <c r="AR203">
        <f>HYPERLINK("http://catalog.hathitrust.org/Record/009932175","HathiTrust Record")</f>
        <v/>
      </c>
      <c r="AS203">
        <f>HYPERLINK("https://creighton-primo.hosted.exlibrisgroup.com/primo-explore/search?tab=default_tab&amp;search_scope=EVERYTHING&amp;vid=01CRU&amp;lang=en_US&amp;offset=0&amp;query=any,contains,991005356889702656","Catalog Record")</f>
        <v/>
      </c>
      <c r="AT203">
        <f>HYPERLINK("http://www.worldcat.org/oclc/802031","WorldCat Record")</f>
        <v/>
      </c>
      <c r="AU203" t="inlineStr">
        <is>
          <t>4924721893:ger</t>
        </is>
      </c>
      <c r="AV203" t="inlineStr">
        <is>
          <t>802031</t>
        </is>
      </c>
      <c r="AW203" t="inlineStr">
        <is>
          <t>991005356889702656</t>
        </is>
      </c>
      <c r="AX203" t="inlineStr">
        <is>
          <t>991005356889702656</t>
        </is>
      </c>
      <c r="AY203" t="inlineStr">
        <is>
          <t>2270552310002656</t>
        </is>
      </c>
      <c r="AZ203" t="inlineStr">
        <is>
          <t>BOOK</t>
        </is>
      </c>
      <c r="BC203" t="inlineStr">
        <is>
          <t>32285002790417</t>
        </is>
      </c>
      <c r="BD203" t="inlineStr">
        <is>
          <t>893527411</t>
        </is>
      </c>
    </row>
    <row r="204">
      <c r="A204" t="inlineStr">
        <is>
          <t>No</t>
        </is>
      </c>
      <c r="B204" t="inlineStr">
        <is>
          <t>QD151 .G52 NO. 35 PT. A7</t>
        </is>
      </c>
      <c r="C204" t="inlineStr">
        <is>
          <t>0                      QD 0151000G  52                                                      NO. 35 PT. A7</t>
        </is>
      </c>
      <c r="D204" t="inlineStr">
        <is>
          <t>Gmelins Handbuch der anorganischen chemie.</t>
        </is>
      </c>
      <c r="E204" t="inlineStr">
        <is>
          <t>NO. 35 PT. A7*</t>
        </is>
      </c>
      <c r="F204" t="inlineStr">
        <is>
          <t>Yes</t>
        </is>
      </c>
      <c r="G204" t="inlineStr">
        <is>
          <t>1</t>
        </is>
      </c>
      <c r="H204" t="inlineStr">
        <is>
          <t>No</t>
        </is>
      </c>
      <c r="I204" t="inlineStr">
        <is>
          <t>No</t>
        </is>
      </c>
      <c r="J204" t="inlineStr">
        <is>
          <t>0</t>
        </is>
      </c>
      <c r="L204" t="inlineStr">
        <is>
          <t>Leipzig-Berlin, Verlag Chemie g.m.b.h., 1924-</t>
        </is>
      </c>
      <c r="M204" t="inlineStr">
        <is>
          <t>1924</t>
        </is>
      </c>
      <c r="N204" t="inlineStr">
        <is>
          <t>8. aufl. Hrsg. von der Deutschen chemischen gesellschaft, bearb. von R.J. Meyer, unter beratender mitwirkung von Franz Peters.</t>
        </is>
      </c>
      <c r="O204" t="inlineStr">
        <is>
          <t>ger</t>
        </is>
      </c>
      <c r="P204" t="inlineStr">
        <is>
          <t xml:space="preserve">xx </t>
        </is>
      </c>
      <c r="R204" t="inlineStr">
        <is>
          <t xml:space="preserve">QD </t>
        </is>
      </c>
      <c r="S204" t="n">
        <v>1</v>
      </c>
      <c r="T204" t="n">
        <v>324</v>
      </c>
      <c r="U204" t="inlineStr">
        <is>
          <t>1998-07-27</t>
        </is>
      </c>
      <c r="V204" t="inlineStr">
        <is>
          <t>1998-07-28</t>
        </is>
      </c>
      <c r="W204" t="inlineStr">
        <is>
          <t>1997-06-03</t>
        </is>
      </c>
      <c r="X204" t="inlineStr">
        <is>
          <t>1998-06-24</t>
        </is>
      </c>
      <c r="Y204" t="n">
        <v>259</v>
      </c>
      <c r="Z204" t="n">
        <v>221</v>
      </c>
      <c r="AA204" t="n">
        <v>223</v>
      </c>
      <c r="AB204" t="n">
        <v>2</v>
      </c>
      <c r="AC204" t="n">
        <v>2</v>
      </c>
      <c r="AD204" t="n">
        <v>10</v>
      </c>
      <c r="AE204" t="n">
        <v>10</v>
      </c>
      <c r="AF204" t="n">
        <v>2</v>
      </c>
      <c r="AG204" t="n">
        <v>2</v>
      </c>
      <c r="AH204" t="n">
        <v>2</v>
      </c>
      <c r="AI204" t="n">
        <v>2</v>
      </c>
      <c r="AJ204" t="n">
        <v>8</v>
      </c>
      <c r="AK204" t="n">
        <v>8</v>
      </c>
      <c r="AL204" t="n">
        <v>1</v>
      </c>
      <c r="AM204" t="n">
        <v>1</v>
      </c>
      <c r="AN204" t="n">
        <v>0</v>
      </c>
      <c r="AO204" t="n">
        <v>0</v>
      </c>
      <c r="AP204" t="inlineStr">
        <is>
          <t>No</t>
        </is>
      </c>
      <c r="AQ204" t="inlineStr">
        <is>
          <t>Yes</t>
        </is>
      </c>
      <c r="AR204">
        <f>HYPERLINK("http://catalog.hathitrust.org/Record/009932175","HathiTrust Record")</f>
        <v/>
      </c>
      <c r="AS204">
        <f>HYPERLINK("https://creighton-primo.hosted.exlibrisgroup.com/primo-explore/search?tab=default_tab&amp;search_scope=EVERYTHING&amp;vid=01CRU&amp;lang=en_US&amp;offset=0&amp;query=any,contains,991005356889702656","Catalog Record")</f>
        <v/>
      </c>
      <c r="AT204">
        <f>HYPERLINK("http://www.worldcat.org/oclc/802031","WorldCat Record")</f>
        <v/>
      </c>
      <c r="AU204" t="inlineStr">
        <is>
          <t>4924721893:ger</t>
        </is>
      </c>
      <c r="AV204" t="inlineStr">
        <is>
          <t>802031</t>
        </is>
      </c>
      <c r="AW204" t="inlineStr">
        <is>
          <t>991005356889702656</t>
        </is>
      </c>
      <c r="AX204" t="inlineStr">
        <is>
          <t>991005356889702656</t>
        </is>
      </c>
      <c r="AY204" t="inlineStr">
        <is>
          <t>2270552310002656</t>
        </is>
      </c>
      <c r="AZ204" t="inlineStr">
        <is>
          <t>BOOK</t>
        </is>
      </c>
      <c r="BC204" t="inlineStr">
        <is>
          <t>32285002790425</t>
        </is>
      </c>
      <c r="BD204" t="inlineStr">
        <is>
          <t>893520919</t>
        </is>
      </c>
    </row>
    <row r="205">
      <c r="A205" t="inlineStr">
        <is>
          <t>No</t>
        </is>
      </c>
      <c r="B205" t="inlineStr">
        <is>
          <t>QD151 .G52 NO. 35 PT. A8</t>
        </is>
      </c>
      <c r="C205" t="inlineStr">
        <is>
          <t>0                      QD 0151000G  52                                                      NO. 35 PT. A8</t>
        </is>
      </c>
      <c r="D205" t="inlineStr">
        <is>
          <t>Gmelins Handbuch der anorganischen chemie.</t>
        </is>
      </c>
      <c r="E205" t="inlineStr">
        <is>
          <t>NO. 35 PT. A8*</t>
        </is>
      </c>
      <c r="F205" t="inlineStr">
        <is>
          <t>Yes</t>
        </is>
      </c>
      <c r="G205" t="inlineStr">
        <is>
          <t>1</t>
        </is>
      </c>
      <c r="H205" t="inlineStr">
        <is>
          <t>No</t>
        </is>
      </c>
      <c r="I205" t="inlineStr">
        <is>
          <t>No</t>
        </is>
      </c>
      <c r="J205" t="inlineStr">
        <is>
          <t>0</t>
        </is>
      </c>
      <c r="L205" t="inlineStr">
        <is>
          <t>Leipzig-Berlin, Verlag Chemie g.m.b.h., 1924-</t>
        </is>
      </c>
      <c r="M205" t="inlineStr">
        <is>
          <t>1924</t>
        </is>
      </c>
      <c r="N205" t="inlineStr">
        <is>
          <t>8. aufl. Hrsg. von der Deutschen chemischen gesellschaft, bearb. von R.J. Meyer, unter beratender mitwirkung von Franz Peters.</t>
        </is>
      </c>
      <c r="O205" t="inlineStr">
        <is>
          <t>ger</t>
        </is>
      </c>
      <c r="P205" t="inlineStr">
        <is>
          <t xml:space="preserve">xx </t>
        </is>
      </c>
      <c r="R205" t="inlineStr">
        <is>
          <t xml:space="preserve">QD </t>
        </is>
      </c>
      <c r="S205" t="n">
        <v>1</v>
      </c>
      <c r="T205" t="n">
        <v>324</v>
      </c>
      <c r="U205" t="inlineStr">
        <is>
          <t>1998-07-27</t>
        </is>
      </c>
      <c r="V205" t="inlineStr">
        <is>
          <t>1998-07-28</t>
        </is>
      </c>
      <c r="W205" t="inlineStr">
        <is>
          <t>1997-06-03</t>
        </is>
      </c>
      <c r="X205" t="inlineStr">
        <is>
          <t>1998-06-24</t>
        </is>
      </c>
      <c r="Y205" t="n">
        <v>259</v>
      </c>
      <c r="Z205" t="n">
        <v>221</v>
      </c>
      <c r="AA205" t="n">
        <v>223</v>
      </c>
      <c r="AB205" t="n">
        <v>2</v>
      </c>
      <c r="AC205" t="n">
        <v>2</v>
      </c>
      <c r="AD205" t="n">
        <v>10</v>
      </c>
      <c r="AE205" t="n">
        <v>10</v>
      </c>
      <c r="AF205" t="n">
        <v>2</v>
      </c>
      <c r="AG205" t="n">
        <v>2</v>
      </c>
      <c r="AH205" t="n">
        <v>2</v>
      </c>
      <c r="AI205" t="n">
        <v>2</v>
      </c>
      <c r="AJ205" t="n">
        <v>8</v>
      </c>
      <c r="AK205" t="n">
        <v>8</v>
      </c>
      <c r="AL205" t="n">
        <v>1</v>
      </c>
      <c r="AM205" t="n">
        <v>1</v>
      </c>
      <c r="AN205" t="n">
        <v>0</v>
      </c>
      <c r="AO205" t="n">
        <v>0</v>
      </c>
      <c r="AP205" t="inlineStr">
        <is>
          <t>No</t>
        </is>
      </c>
      <c r="AQ205" t="inlineStr">
        <is>
          <t>Yes</t>
        </is>
      </c>
      <c r="AR205">
        <f>HYPERLINK("http://catalog.hathitrust.org/Record/009932175","HathiTrust Record")</f>
        <v/>
      </c>
      <c r="AS205">
        <f>HYPERLINK("https://creighton-primo.hosted.exlibrisgroup.com/primo-explore/search?tab=default_tab&amp;search_scope=EVERYTHING&amp;vid=01CRU&amp;lang=en_US&amp;offset=0&amp;query=any,contains,991005356889702656","Catalog Record")</f>
        <v/>
      </c>
      <c r="AT205">
        <f>HYPERLINK("http://www.worldcat.org/oclc/802031","WorldCat Record")</f>
        <v/>
      </c>
      <c r="AU205" t="inlineStr">
        <is>
          <t>4924721893:ger</t>
        </is>
      </c>
      <c r="AV205" t="inlineStr">
        <is>
          <t>802031</t>
        </is>
      </c>
      <c r="AW205" t="inlineStr">
        <is>
          <t>991005356889702656</t>
        </is>
      </c>
      <c r="AX205" t="inlineStr">
        <is>
          <t>991005356889702656</t>
        </is>
      </c>
      <c r="AY205" t="inlineStr">
        <is>
          <t>2270552310002656</t>
        </is>
      </c>
      <c r="AZ205" t="inlineStr">
        <is>
          <t>BOOK</t>
        </is>
      </c>
      <c r="BC205" t="inlineStr">
        <is>
          <t>32285002790433</t>
        </is>
      </c>
      <c r="BD205" t="inlineStr">
        <is>
          <t>893520955</t>
        </is>
      </c>
    </row>
    <row r="206">
      <c r="A206" t="inlineStr">
        <is>
          <t>No</t>
        </is>
      </c>
      <c r="B206" t="inlineStr">
        <is>
          <t>QD151 .G52 NO. 35 PT. B1</t>
        </is>
      </c>
      <c r="C206" t="inlineStr">
        <is>
          <t>0                      QD 0151000G  52                                                      NO. 35 PT. B1</t>
        </is>
      </c>
      <c r="D206" t="inlineStr">
        <is>
          <t>Gmelins Handbuch der anorganischen chemie.</t>
        </is>
      </c>
      <c r="E206" t="inlineStr">
        <is>
          <t>NO. 35 PT. B1*</t>
        </is>
      </c>
      <c r="F206" t="inlineStr">
        <is>
          <t>Yes</t>
        </is>
      </c>
      <c r="G206" t="inlineStr">
        <is>
          <t>1</t>
        </is>
      </c>
      <c r="H206" t="inlineStr">
        <is>
          <t>No</t>
        </is>
      </c>
      <c r="I206" t="inlineStr">
        <is>
          <t>No</t>
        </is>
      </c>
      <c r="J206" t="inlineStr">
        <is>
          <t>0</t>
        </is>
      </c>
      <c r="L206" t="inlineStr">
        <is>
          <t>Leipzig-Berlin, Verlag Chemie g.m.b.h., 1924-</t>
        </is>
      </c>
      <c r="M206" t="inlineStr">
        <is>
          <t>1924</t>
        </is>
      </c>
      <c r="N206" t="inlineStr">
        <is>
          <t>8. aufl. Hrsg. von der Deutschen chemischen gesellschaft, bearb. von R.J. Meyer, unter beratender mitwirkung von Franz Peters.</t>
        </is>
      </c>
      <c r="O206" t="inlineStr">
        <is>
          <t>ger</t>
        </is>
      </c>
      <c r="P206" t="inlineStr">
        <is>
          <t xml:space="preserve">xx </t>
        </is>
      </c>
      <c r="R206" t="inlineStr">
        <is>
          <t xml:space="preserve">QD </t>
        </is>
      </c>
      <c r="S206" t="n">
        <v>1</v>
      </c>
      <c r="T206" t="n">
        <v>324</v>
      </c>
      <c r="U206" t="inlineStr">
        <is>
          <t>1998-07-27</t>
        </is>
      </c>
      <c r="V206" t="inlineStr">
        <is>
          <t>1998-07-28</t>
        </is>
      </c>
      <c r="W206" t="inlineStr">
        <is>
          <t>1997-06-03</t>
        </is>
      </c>
      <c r="X206" t="inlineStr">
        <is>
          <t>1998-06-24</t>
        </is>
      </c>
      <c r="Y206" t="n">
        <v>259</v>
      </c>
      <c r="Z206" t="n">
        <v>221</v>
      </c>
      <c r="AA206" t="n">
        <v>223</v>
      </c>
      <c r="AB206" t="n">
        <v>2</v>
      </c>
      <c r="AC206" t="n">
        <v>2</v>
      </c>
      <c r="AD206" t="n">
        <v>10</v>
      </c>
      <c r="AE206" t="n">
        <v>10</v>
      </c>
      <c r="AF206" t="n">
        <v>2</v>
      </c>
      <c r="AG206" t="n">
        <v>2</v>
      </c>
      <c r="AH206" t="n">
        <v>2</v>
      </c>
      <c r="AI206" t="n">
        <v>2</v>
      </c>
      <c r="AJ206" t="n">
        <v>8</v>
      </c>
      <c r="AK206" t="n">
        <v>8</v>
      </c>
      <c r="AL206" t="n">
        <v>1</v>
      </c>
      <c r="AM206" t="n">
        <v>1</v>
      </c>
      <c r="AN206" t="n">
        <v>0</v>
      </c>
      <c r="AO206" t="n">
        <v>0</v>
      </c>
      <c r="AP206" t="inlineStr">
        <is>
          <t>No</t>
        </is>
      </c>
      <c r="AQ206" t="inlineStr">
        <is>
          <t>Yes</t>
        </is>
      </c>
      <c r="AR206">
        <f>HYPERLINK("http://catalog.hathitrust.org/Record/009932175","HathiTrust Record")</f>
        <v/>
      </c>
      <c r="AS206">
        <f>HYPERLINK("https://creighton-primo.hosted.exlibrisgroup.com/primo-explore/search?tab=default_tab&amp;search_scope=EVERYTHING&amp;vid=01CRU&amp;lang=en_US&amp;offset=0&amp;query=any,contains,991005356889702656","Catalog Record")</f>
        <v/>
      </c>
      <c r="AT206">
        <f>HYPERLINK("http://www.worldcat.org/oclc/802031","WorldCat Record")</f>
        <v/>
      </c>
      <c r="AU206" t="inlineStr">
        <is>
          <t>4924721893:ger</t>
        </is>
      </c>
      <c r="AV206" t="inlineStr">
        <is>
          <t>802031</t>
        </is>
      </c>
      <c r="AW206" t="inlineStr">
        <is>
          <t>991005356889702656</t>
        </is>
      </c>
      <c r="AX206" t="inlineStr">
        <is>
          <t>991005356889702656</t>
        </is>
      </c>
      <c r="AY206" t="inlineStr">
        <is>
          <t>2270552310002656</t>
        </is>
      </c>
      <c r="AZ206" t="inlineStr">
        <is>
          <t>BOOK</t>
        </is>
      </c>
      <c r="BC206" t="inlineStr">
        <is>
          <t>32285002790441</t>
        </is>
      </c>
      <c r="BD206" t="inlineStr">
        <is>
          <t>893527410</t>
        </is>
      </c>
    </row>
    <row r="207">
      <c r="A207" t="inlineStr">
        <is>
          <t>No</t>
        </is>
      </c>
      <c r="B207" t="inlineStr">
        <is>
          <t>QD151 .G52 NO. 35 PT. B2</t>
        </is>
      </c>
      <c r="C207" t="inlineStr">
        <is>
          <t>0                      QD 0151000G  52                                                      NO. 35 PT. B2</t>
        </is>
      </c>
      <c r="D207" t="inlineStr">
        <is>
          <t>Gmelins Handbuch der anorganischen chemie.</t>
        </is>
      </c>
      <c r="E207" t="inlineStr">
        <is>
          <t>NO. 35 PT. B2*</t>
        </is>
      </c>
      <c r="F207" t="inlineStr">
        <is>
          <t>Yes</t>
        </is>
      </c>
      <c r="G207" t="inlineStr">
        <is>
          <t>1</t>
        </is>
      </c>
      <c r="H207" t="inlineStr">
        <is>
          <t>No</t>
        </is>
      </c>
      <c r="I207" t="inlineStr">
        <is>
          <t>No</t>
        </is>
      </c>
      <c r="J207" t="inlineStr">
        <is>
          <t>0</t>
        </is>
      </c>
      <c r="L207" t="inlineStr">
        <is>
          <t>Leipzig-Berlin, Verlag Chemie g.m.b.h., 1924-</t>
        </is>
      </c>
      <c r="M207" t="inlineStr">
        <is>
          <t>1924</t>
        </is>
      </c>
      <c r="N207" t="inlineStr">
        <is>
          <t>8. aufl. Hrsg. von der Deutschen chemischen gesellschaft, bearb. von R.J. Meyer, unter beratender mitwirkung von Franz Peters.</t>
        </is>
      </c>
      <c r="O207" t="inlineStr">
        <is>
          <t>ger</t>
        </is>
      </c>
      <c r="P207" t="inlineStr">
        <is>
          <t xml:space="preserve">xx </t>
        </is>
      </c>
      <c r="R207" t="inlineStr">
        <is>
          <t xml:space="preserve">QD </t>
        </is>
      </c>
      <c r="S207" t="n">
        <v>1</v>
      </c>
      <c r="T207" t="n">
        <v>324</v>
      </c>
      <c r="U207" t="inlineStr">
        <is>
          <t>1998-07-27</t>
        </is>
      </c>
      <c r="V207" t="inlineStr">
        <is>
          <t>1998-07-28</t>
        </is>
      </c>
      <c r="W207" t="inlineStr">
        <is>
          <t>1997-06-03</t>
        </is>
      </c>
      <c r="X207" t="inlineStr">
        <is>
          <t>1998-06-24</t>
        </is>
      </c>
      <c r="Y207" t="n">
        <v>259</v>
      </c>
      <c r="Z207" t="n">
        <v>221</v>
      </c>
      <c r="AA207" t="n">
        <v>223</v>
      </c>
      <c r="AB207" t="n">
        <v>2</v>
      </c>
      <c r="AC207" t="n">
        <v>2</v>
      </c>
      <c r="AD207" t="n">
        <v>10</v>
      </c>
      <c r="AE207" t="n">
        <v>10</v>
      </c>
      <c r="AF207" t="n">
        <v>2</v>
      </c>
      <c r="AG207" t="n">
        <v>2</v>
      </c>
      <c r="AH207" t="n">
        <v>2</v>
      </c>
      <c r="AI207" t="n">
        <v>2</v>
      </c>
      <c r="AJ207" t="n">
        <v>8</v>
      </c>
      <c r="AK207" t="n">
        <v>8</v>
      </c>
      <c r="AL207" t="n">
        <v>1</v>
      </c>
      <c r="AM207" t="n">
        <v>1</v>
      </c>
      <c r="AN207" t="n">
        <v>0</v>
      </c>
      <c r="AO207" t="n">
        <v>0</v>
      </c>
      <c r="AP207" t="inlineStr">
        <is>
          <t>No</t>
        </is>
      </c>
      <c r="AQ207" t="inlineStr">
        <is>
          <t>Yes</t>
        </is>
      </c>
      <c r="AR207">
        <f>HYPERLINK("http://catalog.hathitrust.org/Record/009932175","HathiTrust Record")</f>
        <v/>
      </c>
      <c r="AS207">
        <f>HYPERLINK("https://creighton-primo.hosted.exlibrisgroup.com/primo-explore/search?tab=default_tab&amp;search_scope=EVERYTHING&amp;vid=01CRU&amp;lang=en_US&amp;offset=0&amp;query=any,contains,991005356889702656","Catalog Record")</f>
        <v/>
      </c>
      <c r="AT207">
        <f>HYPERLINK("http://www.worldcat.org/oclc/802031","WorldCat Record")</f>
        <v/>
      </c>
      <c r="AU207" t="inlineStr">
        <is>
          <t>4924721893:ger</t>
        </is>
      </c>
      <c r="AV207" t="inlineStr">
        <is>
          <t>802031</t>
        </is>
      </c>
      <c r="AW207" t="inlineStr">
        <is>
          <t>991005356889702656</t>
        </is>
      </c>
      <c r="AX207" t="inlineStr">
        <is>
          <t>991005356889702656</t>
        </is>
      </c>
      <c r="AY207" t="inlineStr">
        <is>
          <t>2270552310002656</t>
        </is>
      </c>
      <c r="AZ207" t="inlineStr">
        <is>
          <t>BOOK</t>
        </is>
      </c>
      <c r="BC207" t="inlineStr">
        <is>
          <t>32285002790458</t>
        </is>
      </c>
      <c r="BD207" t="inlineStr">
        <is>
          <t>893533638</t>
        </is>
      </c>
    </row>
    <row r="208">
      <c r="A208" t="inlineStr">
        <is>
          <t>No</t>
        </is>
      </c>
      <c r="B208" t="inlineStr">
        <is>
          <t>QD151 .G52 NO. 36</t>
        </is>
      </c>
      <c r="C208" t="inlineStr">
        <is>
          <t>0                      QD 0151000G  52                                                      NO. 36</t>
        </is>
      </c>
      <c r="D208" t="inlineStr">
        <is>
          <t>Gmelins Handbuch der anorganischen chemie.</t>
        </is>
      </c>
      <c r="E208" t="inlineStr">
        <is>
          <t>NO. 36*</t>
        </is>
      </c>
      <c r="F208" t="inlineStr">
        <is>
          <t>Yes</t>
        </is>
      </c>
      <c r="G208" t="inlineStr">
        <is>
          <t>1</t>
        </is>
      </c>
      <c r="H208" t="inlineStr">
        <is>
          <t>No</t>
        </is>
      </c>
      <c r="I208" t="inlineStr">
        <is>
          <t>No</t>
        </is>
      </c>
      <c r="J208" t="inlineStr">
        <is>
          <t>0</t>
        </is>
      </c>
      <c r="L208" t="inlineStr">
        <is>
          <t>Leipzig-Berlin, Verlag Chemie g.m.b.h., 1924-</t>
        </is>
      </c>
      <c r="M208" t="inlineStr">
        <is>
          <t>1924</t>
        </is>
      </c>
      <c r="N208" t="inlineStr">
        <is>
          <t>8. aufl. Hrsg. von der Deutschen chemischen gesellschaft, bearb. von R.J. Meyer, unter beratender mitwirkung von Franz Peters.</t>
        </is>
      </c>
      <c r="O208" t="inlineStr">
        <is>
          <t>ger</t>
        </is>
      </c>
      <c r="P208" t="inlineStr">
        <is>
          <t xml:space="preserve">xx </t>
        </is>
      </c>
      <c r="R208" t="inlineStr">
        <is>
          <t xml:space="preserve">QD </t>
        </is>
      </c>
      <c r="S208" t="n">
        <v>1</v>
      </c>
      <c r="T208" t="n">
        <v>324</v>
      </c>
      <c r="U208" t="inlineStr">
        <is>
          <t>1998-07-27</t>
        </is>
      </c>
      <c r="V208" t="inlineStr">
        <is>
          <t>1998-07-28</t>
        </is>
      </c>
      <c r="W208" t="inlineStr">
        <is>
          <t>1997-06-03</t>
        </is>
      </c>
      <c r="X208" t="inlineStr">
        <is>
          <t>1998-06-24</t>
        </is>
      </c>
      <c r="Y208" t="n">
        <v>259</v>
      </c>
      <c r="Z208" t="n">
        <v>221</v>
      </c>
      <c r="AA208" t="n">
        <v>223</v>
      </c>
      <c r="AB208" t="n">
        <v>2</v>
      </c>
      <c r="AC208" t="n">
        <v>2</v>
      </c>
      <c r="AD208" t="n">
        <v>10</v>
      </c>
      <c r="AE208" t="n">
        <v>10</v>
      </c>
      <c r="AF208" t="n">
        <v>2</v>
      </c>
      <c r="AG208" t="n">
        <v>2</v>
      </c>
      <c r="AH208" t="n">
        <v>2</v>
      </c>
      <c r="AI208" t="n">
        <v>2</v>
      </c>
      <c r="AJ208" t="n">
        <v>8</v>
      </c>
      <c r="AK208" t="n">
        <v>8</v>
      </c>
      <c r="AL208" t="n">
        <v>1</v>
      </c>
      <c r="AM208" t="n">
        <v>1</v>
      </c>
      <c r="AN208" t="n">
        <v>0</v>
      </c>
      <c r="AO208" t="n">
        <v>0</v>
      </c>
      <c r="AP208" t="inlineStr">
        <is>
          <t>No</t>
        </is>
      </c>
      <c r="AQ208" t="inlineStr">
        <is>
          <t>Yes</t>
        </is>
      </c>
      <c r="AR208">
        <f>HYPERLINK("http://catalog.hathitrust.org/Record/009932175","HathiTrust Record")</f>
        <v/>
      </c>
      <c r="AS208">
        <f>HYPERLINK("https://creighton-primo.hosted.exlibrisgroup.com/primo-explore/search?tab=default_tab&amp;search_scope=EVERYTHING&amp;vid=01CRU&amp;lang=en_US&amp;offset=0&amp;query=any,contains,991005356889702656","Catalog Record")</f>
        <v/>
      </c>
      <c r="AT208">
        <f>HYPERLINK("http://www.worldcat.org/oclc/802031","WorldCat Record")</f>
        <v/>
      </c>
      <c r="AU208" t="inlineStr">
        <is>
          <t>4924721893:ger</t>
        </is>
      </c>
      <c r="AV208" t="inlineStr">
        <is>
          <t>802031</t>
        </is>
      </c>
      <c r="AW208" t="inlineStr">
        <is>
          <t>991005356889702656</t>
        </is>
      </c>
      <c r="AX208" t="inlineStr">
        <is>
          <t>991005356889702656</t>
        </is>
      </c>
      <c r="AY208" t="inlineStr">
        <is>
          <t>2270552310002656</t>
        </is>
      </c>
      <c r="AZ208" t="inlineStr">
        <is>
          <t>BOOK</t>
        </is>
      </c>
      <c r="BC208" t="inlineStr">
        <is>
          <t>32285002790466</t>
        </is>
      </c>
      <c r="BD208" t="inlineStr">
        <is>
          <t>893527409</t>
        </is>
      </c>
    </row>
    <row r="209">
      <c r="A209" t="inlineStr">
        <is>
          <t>No</t>
        </is>
      </c>
      <c r="B209" t="inlineStr">
        <is>
          <t>QD151 .G52 NO. 37</t>
        </is>
      </c>
      <c r="C209" t="inlineStr">
        <is>
          <t>0                      QD 0151000G  52                                                      NO. 37</t>
        </is>
      </c>
      <c r="D209" t="inlineStr">
        <is>
          <t>Gmelins Handbuch der anorganischen chemie.</t>
        </is>
      </c>
      <c r="E209" t="inlineStr">
        <is>
          <t>NO. 37*</t>
        </is>
      </c>
      <c r="F209" t="inlineStr">
        <is>
          <t>Yes</t>
        </is>
      </c>
      <c r="G209" t="inlineStr">
        <is>
          <t>1</t>
        </is>
      </c>
      <c r="H209" t="inlineStr">
        <is>
          <t>No</t>
        </is>
      </c>
      <c r="I209" t="inlineStr">
        <is>
          <t>No</t>
        </is>
      </c>
      <c r="J209" t="inlineStr">
        <is>
          <t>0</t>
        </is>
      </c>
      <c r="L209" t="inlineStr">
        <is>
          <t>Leipzig-Berlin, Verlag Chemie g.m.b.h., 1924-</t>
        </is>
      </c>
      <c r="M209" t="inlineStr">
        <is>
          <t>1924</t>
        </is>
      </c>
      <c r="N209" t="inlineStr">
        <is>
          <t>8. aufl. Hrsg. von der Deutschen chemischen gesellschaft, bearb. von R.J. Meyer, unter beratender mitwirkung von Franz Peters.</t>
        </is>
      </c>
      <c r="O209" t="inlineStr">
        <is>
          <t>ger</t>
        </is>
      </c>
      <c r="P209" t="inlineStr">
        <is>
          <t xml:space="preserve">xx </t>
        </is>
      </c>
      <c r="R209" t="inlineStr">
        <is>
          <t xml:space="preserve">QD </t>
        </is>
      </c>
      <c r="S209" t="n">
        <v>1</v>
      </c>
      <c r="T209" t="n">
        <v>324</v>
      </c>
      <c r="U209" t="inlineStr">
        <is>
          <t>1998-07-27</t>
        </is>
      </c>
      <c r="V209" t="inlineStr">
        <is>
          <t>1998-07-28</t>
        </is>
      </c>
      <c r="W209" t="inlineStr">
        <is>
          <t>1997-06-05</t>
        </is>
      </c>
      <c r="X209" t="inlineStr">
        <is>
          <t>1998-06-24</t>
        </is>
      </c>
      <c r="Y209" t="n">
        <v>259</v>
      </c>
      <c r="Z209" t="n">
        <v>221</v>
      </c>
      <c r="AA209" t="n">
        <v>223</v>
      </c>
      <c r="AB209" t="n">
        <v>2</v>
      </c>
      <c r="AC209" t="n">
        <v>2</v>
      </c>
      <c r="AD209" t="n">
        <v>10</v>
      </c>
      <c r="AE209" t="n">
        <v>10</v>
      </c>
      <c r="AF209" t="n">
        <v>2</v>
      </c>
      <c r="AG209" t="n">
        <v>2</v>
      </c>
      <c r="AH209" t="n">
        <v>2</v>
      </c>
      <c r="AI209" t="n">
        <v>2</v>
      </c>
      <c r="AJ209" t="n">
        <v>8</v>
      </c>
      <c r="AK209" t="n">
        <v>8</v>
      </c>
      <c r="AL209" t="n">
        <v>1</v>
      </c>
      <c r="AM209" t="n">
        <v>1</v>
      </c>
      <c r="AN209" t="n">
        <v>0</v>
      </c>
      <c r="AO209" t="n">
        <v>0</v>
      </c>
      <c r="AP209" t="inlineStr">
        <is>
          <t>No</t>
        </is>
      </c>
      <c r="AQ209" t="inlineStr">
        <is>
          <t>Yes</t>
        </is>
      </c>
      <c r="AR209">
        <f>HYPERLINK("http://catalog.hathitrust.org/Record/009932175","HathiTrust Record")</f>
        <v/>
      </c>
      <c r="AS209">
        <f>HYPERLINK("https://creighton-primo.hosted.exlibrisgroup.com/primo-explore/search?tab=default_tab&amp;search_scope=EVERYTHING&amp;vid=01CRU&amp;lang=en_US&amp;offset=0&amp;query=any,contains,991005356889702656","Catalog Record")</f>
        <v/>
      </c>
      <c r="AT209">
        <f>HYPERLINK("http://www.worldcat.org/oclc/802031","WorldCat Record")</f>
        <v/>
      </c>
      <c r="AU209" t="inlineStr">
        <is>
          <t>4924721893:ger</t>
        </is>
      </c>
      <c r="AV209" t="inlineStr">
        <is>
          <t>802031</t>
        </is>
      </c>
      <c r="AW209" t="inlineStr">
        <is>
          <t>991005356889702656</t>
        </is>
      </c>
      <c r="AX209" t="inlineStr">
        <is>
          <t>991005356889702656</t>
        </is>
      </c>
      <c r="AY209" t="inlineStr">
        <is>
          <t>2270552310002656</t>
        </is>
      </c>
      <c r="AZ209" t="inlineStr">
        <is>
          <t>BOOK</t>
        </is>
      </c>
      <c r="BC209" t="inlineStr">
        <is>
          <t>32285002790474</t>
        </is>
      </c>
      <c r="BD209" t="inlineStr">
        <is>
          <t>893533637</t>
        </is>
      </c>
    </row>
    <row r="210">
      <c r="A210" t="inlineStr">
        <is>
          <t>No</t>
        </is>
      </c>
      <c r="B210" t="inlineStr">
        <is>
          <t>QD151 .G52 NO. 38 SECT. 1</t>
        </is>
      </c>
      <c r="C210" t="inlineStr">
        <is>
          <t>0                      QD 0151000G  52                                                      NO. 38 SECT. 1</t>
        </is>
      </c>
      <c r="D210" t="inlineStr">
        <is>
          <t>Gmelins Handbuch der anorganischen chemie.</t>
        </is>
      </c>
      <c r="E210" t="inlineStr">
        <is>
          <t>NO. 38 SECT. 1*</t>
        </is>
      </c>
      <c r="F210" t="inlineStr">
        <is>
          <t>Yes</t>
        </is>
      </c>
      <c r="G210" t="inlineStr">
        <is>
          <t>1</t>
        </is>
      </c>
      <c r="H210" t="inlineStr">
        <is>
          <t>No</t>
        </is>
      </c>
      <c r="I210" t="inlineStr">
        <is>
          <t>No</t>
        </is>
      </c>
      <c r="J210" t="inlineStr">
        <is>
          <t>0</t>
        </is>
      </c>
      <c r="L210" t="inlineStr">
        <is>
          <t>Leipzig-Berlin, Verlag Chemie g.m.b.h., 1924-</t>
        </is>
      </c>
      <c r="M210" t="inlineStr">
        <is>
          <t>1924</t>
        </is>
      </c>
      <c r="N210" t="inlineStr">
        <is>
          <t>8. aufl. Hrsg. von der Deutschen chemischen gesellschaft, bearb. von R.J. Meyer, unter beratender mitwirkung von Franz Peters.</t>
        </is>
      </c>
      <c r="O210" t="inlineStr">
        <is>
          <t>ger</t>
        </is>
      </c>
      <c r="P210" t="inlineStr">
        <is>
          <t xml:space="preserve">xx </t>
        </is>
      </c>
      <c r="R210" t="inlineStr">
        <is>
          <t xml:space="preserve">QD </t>
        </is>
      </c>
      <c r="S210" t="n">
        <v>1</v>
      </c>
      <c r="T210" t="n">
        <v>324</v>
      </c>
      <c r="U210" t="inlineStr">
        <is>
          <t>1998-07-27</t>
        </is>
      </c>
      <c r="V210" t="inlineStr">
        <is>
          <t>1998-07-28</t>
        </is>
      </c>
      <c r="W210" t="inlineStr">
        <is>
          <t>1997-06-05</t>
        </is>
      </c>
      <c r="X210" t="inlineStr">
        <is>
          <t>1998-06-24</t>
        </is>
      </c>
      <c r="Y210" t="n">
        <v>259</v>
      </c>
      <c r="Z210" t="n">
        <v>221</v>
      </c>
      <c r="AA210" t="n">
        <v>223</v>
      </c>
      <c r="AB210" t="n">
        <v>2</v>
      </c>
      <c r="AC210" t="n">
        <v>2</v>
      </c>
      <c r="AD210" t="n">
        <v>10</v>
      </c>
      <c r="AE210" t="n">
        <v>10</v>
      </c>
      <c r="AF210" t="n">
        <v>2</v>
      </c>
      <c r="AG210" t="n">
        <v>2</v>
      </c>
      <c r="AH210" t="n">
        <v>2</v>
      </c>
      <c r="AI210" t="n">
        <v>2</v>
      </c>
      <c r="AJ210" t="n">
        <v>8</v>
      </c>
      <c r="AK210" t="n">
        <v>8</v>
      </c>
      <c r="AL210" t="n">
        <v>1</v>
      </c>
      <c r="AM210" t="n">
        <v>1</v>
      </c>
      <c r="AN210" t="n">
        <v>0</v>
      </c>
      <c r="AO210" t="n">
        <v>0</v>
      </c>
      <c r="AP210" t="inlineStr">
        <is>
          <t>No</t>
        </is>
      </c>
      <c r="AQ210" t="inlineStr">
        <is>
          <t>Yes</t>
        </is>
      </c>
      <c r="AR210">
        <f>HYPERLINK("http://catalog.hathitrust.org/Record/009932175","HathiTrust Record")</f>
        <v/>
      </c>
      <c r="AS210">
        <f>HYPERLINK("https://creighton-primo.hosted.exlibrisgroup.com/primo-explore/search?tab=default_tab&amp;search_scope=EVERYTHING&amp;vid=01CRU&amp;lang=en_US&amp;offset=0&amp;query=any,contains,991005356889702656","Catalog Record")</f>
        <v/>
      </c>
      <c r="AT210">
        <f>HYPERLINK("http://www.worldcat.org/oclc/802031","WorldCat Record")</f>
        <v/>
      </c>
      <c r="AU210" t="inlineStr">
        <is>
          <t>4924721893:ger</t>
        </is>
      </c>
      <c r="AV210" t="inlineStr">
        <is>
          <t>802031</t>
        </is>
      </c>
      <c r="AW210" t="inlineStr">
        <is>
          <t>991005356889702656</t>
        </is>
      </c>
      <c r="AX210" t="inlineStr">
        <is>
          <t>991005356889702656</t>
        </is>
      </c>
      <c r="AY210" t="inlineStr">
        <is>
          <t>2270552310002656</t>
        </is>
      </c>
      <c r="AZ210" t="inlineStr">
        <is>
          <t>BOOK</t>
        </is>
      </c>
      <c r="BC210" t="inlineStr">
        <is>
          <t>32285002790482</t>
        </is>
      </c>
      <c r="BD210" t="inlineStr">
        <is>
          <t>893527408</t>
        </is>
      </c>
    </row>
    <row r="211">
      <c r="A211" t="inlineStr">
        <is>
          <t>No</t>
        </is>
      </c>
      <c r="B211" t="inlineStr">
        <is>
          <t>QD151 .G52 NO. 38 SECT. 2</t>
        </is>
      </c>
      <c r="C211" t="inlineStr">
        <is>
          <t>0                      QD 0151000G  52                                                      NO. 38 SECT. 2</t>
        </is>
      </c>
      <c r="D211" t="inlineStr">
        <is>
          <t>Gmelins Handbuch der anorganischen chemie.</t>
        </is>
      </c>
      <c r="E211" t="inlineStr">
        <is>
          <t>NO. 38 SECT. 2*</t>
        </is>
      </c>
      <c r="F211" t="inlineStr">
        <is>
          <t>Yes</t>
        </is>
      </c>
      <c r="G211" t="inlineStr">
        <is>
          <t>1</t>
        </is>
      </c>
      <c r="H211" t="inlineStr">
        <is>
          <t>No</t>
        </is>
      </c>
      <c r="I211" t="inlineStr">
        <is>
          <t>No</t>
        </is>
      </c>
      <c r="J211" t="inlineStr">
        <is>
          <t>0</t>
        </is>
      </c>
      <c r="L211" t="inlineStr">
        <is>
          <t>Leipzig-Berlin, Verlag Chemie g.m.b.h., 1924-</t>
        </is>
      </c>
      <c r="M211" t="inlineStr">
        <is>
          <t>1924</t>
        </is>
      </c>
      <c r="N211" t="inlineStr">
        <is>
          <t>8. aufl. Hrsg. von der Deutschen chemischen gesellschaft, bearb. von R.J. Meyer, unter beratender mitwirkung von Franz Peters.</t>
        </is>
      </c>
      <c r="O211" t="inlineStr">
        <is>
          <t>ger</t>
        </is>
      </c>
      <c r="P211" t="inlineStr">
        <is>
          <t xml:space="preserve">xx </t>
        </is>
      </c>
      <c r="R211" t="inlineStr">
        <is>
          <t xml:space="preserve">QD </t>
        </is>
      </c>
      <c r="S211" t="n">
        <v>1</v>
      </c>
      <c r="T211" t="n">
        <v>324</v>
      </c>
      <c r="U211" t="inlineStr">
        <is>
          <t>1998-07-27</t>
        </is>
      </c>
      <c r="V211" t="inlineStr">
        <is>
          <t>1998-07-28</t>
        </is>
      </c>
      <c r="W211" t="inlineStr">
        <is>
          <t>1997-06-05</t>
        </is>
      </c>
      <c r="X211" t="inlineStr">
        <is>
          <t>1998-06-24</t>
        </is>
      </c>
      <c r="Y211" t="n">
        <v>259</v>
      </c>
      <c r="Z211" t="n">
        <v>221</v>
      </c>
      <c r="AA211" t="n">
        <v>223</v>
      </c>
      <c r="AB211" t="n">
        <v>2</v>
      </c>
      <c r="AC211" t="n">
        <v>2</v>
      </c>
      <c r="AD211" t="n">
        <v>10</v>
      </c>
      <c r="AE211" t="n">
        <v>10</v>
      </c>
      <c r="AF211" t="n">
        <v>2</v>
      </c>
      <c r="AG211" t="n">
        <v>2</v>
      </c>
      <c r="AH211" t="n">
        <v>2</v>
      </c>
      <c r="AI211" t="n">
        <v>2</v>
      </c>
      <c r="AJ211" t="n">
        <v>8</v>
      </c>
      <c r="AK211" t="n">
        <v>8</v>
      </c>
      <c r="AL211" t="n">
        <v>1</v>
      </c>
      <c r="AM211" t="n">
        <v>1</v>
      </c>
      <c r="AN211" t="n">
        <v>0</v>
      </c>
      <c r="AO211" t="n">
        <v>0</v>
      </c>
      <c r="AP211" t="inlineStr">
        <is>
          <t>No</t>
        </is>
      </c>
      <c r="AQ211" t="inlineStr">
        <is>
          <t>Yes</t>
        </is>
      </c>
      <c r="AR211">
        <f>HYPERLINK("http://catalog.hathitrust.org/Record/009932175","HathiTrust Record")</f>
        <v/>
      </c>
      <c r="AS211">
        <f>HYPERLINK("https://creighton-primo.hosted.exlibrisgroup.com/primo-explore/search?tab=default_tab&amp;search_scope=EVERYTHING&amp;vid=01CRU&amp;lang=en_US&amp;offset=0&amp;query=any,contains,991005356889702656","Catalog Record")</f>
        <v/>
      </c>
      <c r="AT211">
        <f>HYPERLINK("http://www.worldcat.org/oclc/802031","WorldCat Record")</f>
        <v/>
      </c>
      <c r="AU211" t="inlineStr">
        <is>
          <t>4924721893:ger</t>
        </is>
      </c>
      <c r="AV211" t="inlineStr">
        <is>
          <t>802031</t>
        </is>
      </c>
      <c r="AW211" t="inlineStr">
        <is>
          <t>991005356889702656</t>
        </is>
      </c>
      <c r="AX211" t="inlineStr">
        <is>
          <t>991005356889702656</t>
        </is>
      </c>
      <c r="AY211" t="inlineStr">
        <is>
          <t>2270552310002656</t>
        </is>
      </c>
      <c r="AZ211" t="inlineStr">
        <is>
          <t>BOOK</t>
        </is>
      </c>
      <c r="BC211" t="inlineStr">
        <is>
          <t>32285002790490</t>
        </is>
      </c>
      <c r="BD211" t="inlineStr">
        <is>
          <t>893508051</t>
        </is>
      </c>
    </row>
    <row r="212">
      <c r="A212" t="inlineStr">
        <is>
          <t>No</t>
        </is>
      </c>
      <c r="B212" t="inlineStr">
        <is>
          <t>QD151 .G52 NO. 38 SECT. 3</t>
        </is>
      </c>
      <c r="C212" t="inlineStr">
        <is>
          <t>0                      QD 0151000G  52                                                      NO. 38 SECT. 3</t>
        </is>
      </c>
      <c r="D212" t="inlineStr">
        <is>
          <t>Gmelins Handbuch der anorganischen chemie.</t>
        </is>
      </c>
      <c r="E212" t="inlineStr">
        <is>
          <t>NO. 38 SECT. 3*</t>
        </is>
      </c>
      <c r="F212" t="inlineStr">
        <is>
          <t>Yes</t>
        </is>
      </c>
      <c r="G212" t="inlineStr">
        <is>
          <t>1</t>
        </is>
      </c>
      <c r="H212" t="inlineStr">
        <is>
          <t>No</t>
        </is>
      </c>
      <c r="I212" t="inlineStr">
        <is>
          <t>No</t>
        </is>
      </c>
      <c r="J212" t="inlineStr">
        <is>
          <t>0</t>
        </is>
      </c>
      <c r="L212" t="inlineStr">
        <is>
          <t>Leipzig-Berlin, Verlag Chemie g.m.b.h., 1924-</t>
        </is>
      </c>
      <c r="M212" t="inlineStr">
        <is>
          <t>1924</t>
        </is>
      </c>
      <c r="N212" t="inlineStr">
        <is>
          <t>8. aufl. Hrsg. von der Deutschen chemischen gesellschaft, bearb. von R.J. Meyer, unter beratender mitwirkung von Franz Peters.</t>
        </is>
      </c>
      <c r="O212" t="inlineStr">
        <is>
          <t>ger</t>
        </is>
      </c>
      <c r="P212" t="inlineStr">
        <is>
          <t xml:space="preserve">xx </t>
        </is>
      </c>
      <c r="R212" t="inlineStr">
        <is>
          <t xml:space="preserve">QD </t>
        </is>
      </c>
      <c r="S212" t="n">
        <v>1</v>
      </c>
      <c r="T212" t="n">
        <v>324</v>
      </c>
      <c r="U212" t="inlineStr">
        <is>
          <t>1998-07-27</t>
        </is>
      </c>
      <c r="V212" t="inlineStr">
        <is>
          <t>1998-07-28</t>
        </is>
      </c>
      <c r="W212" t="inlineStr">
        <is>
          <t>1997-06-05</t>
        </is>
      </c>
      <c r="X212" t="inlineStr">
        <is>
          <t>1998-06-24</t>
        </is>
      </c>
      <c r="Y212" t="n">
        <v>259</v>
      </c>
      <c r="Z212" t="n">
        <v>221</v>
      </c>
      <c r="AA212" t="n">
        <v>223</v>
      </c>
      <c r="AB212" t="n">
        <v>2</v>
      </c>
      <c r="AC212" t="n">
        <v>2</v>
      </c>
      <c r="AD212" t="n">
        <v>10</v>
      </c>
      <c r="AE212" t="n">
        <v>10</v>
      </c>
      <c r="AF212" t="n">
        <v>2</v>
      </c>
      <c r="AG212" t="n">
        <v>2</v>
      </c>
      <c r="AH212" t="n">
        <v>2</v>
      </c>
      <c r="AI212" t="n">
        <v>2</v>
      </c>
      <c r="AJ212" t="n">
        <v>8</v>
      </c>
      <c r="AK212" t="n">
        <v>8</v>
      </c>
      <c r="AL212" t="n">
        <v>1</v>
      </c>
      <c r="AM212" t="n">
        <v>1</v>
      </c>
      <c r="AN212" t="n">
        <v>0</v>
      </c>
      <c r="AO212" t="n">
        <v>0</v>
      </c>
      <c r="AP212" t="inlineStr">
        <is>
          <t>No</t>
        </is>
      </c>
      <c r="AQ212" t="inlineStr">
        <is>
          <t>Yes</t>
        </is>
      </c>
      <c r="AR212">
        <f>HYPERLINK("http://catalog.hathitrust.org/Record/009932175","HathiTrust Record")</f>
        <v/>
      </c>
      <c r="AS212">
        <f>HYPERLINK("https://creighton-primo.hosted.exlibrisgroup.com/primo-explore/search?tab=default_tab&amp;search_scope=EVERYTHING&amp;vid=01CRU&amp;lang=en_US&amp;offset=0&amp;query=any,contains,991005356889702656","Catalog Record")</f>
        <v/>
      </c>
      <c r="AT212">
        <f>HYPERLINK("http://www.worldcat.org/oclc/802031","WorldCat Record")</f>
        <v/>
      </c>
      <c r="AU212" t="inlineStr">
        <is>
          <t>4924721893:ger</t>
        </is>
      </c>
      <c r="AV212" t="inlineStr">
        <is>
          <t>802031</t>
        </is>
      </c>
      <c r="AW212" t="inlineStr">
        <is>
          <t>991005356889702656</t>
        </is>
      </c>
      <c r="AX212" t="inlineStr">
        <is>
          <t>991005356889702656</t>
        </is>
      </c>
      <c r="AY212" t="inlineStr">
        <is>
          <t>2270552310002656</t>
        </is>
      </c>
      <c r="AZ212" t="inlineStr">
        <is>
          <t>BOOK</t>
        </is>
      </c>
      <c r="BC212" t="inlineStr">
        <is>
          <t>32285002790508</t>
        </is>
      </c>
      <c r="BD212" t="inlineStr">
        <is>
          <t>893520918</t>
        </is>
      </c>
    </row>
    <row r="213">
      <c r="A213" t="inlineStr">
        <is>
          <t>No</t>
        </is>
      </c>
      <c r="B213" t="inlineStr">
        <is>
          <t>QD151 .G52 NO. 39 PT. A1</t>
        </is>
      </c>
      <c r="C213" t="inlineStr">
        <is>
          <t>0                      QD 0151000G  52                                                      NO. 39 PT. A1</t>
        </is>
      </c>
      <c r="D213" t="inlineStr">
        <is>
          <t>Gmelins Handbuch der anorganischen chemie.</t>
        </is>
      </c>
      <c r="E213" t="inlineStr">
        <is>
          <t>NO. 39 PT. A1*</t>
        </is>
      </c>
      <c r="F213" t="inlineStr">
        <is>
          <t>Yes</t>
        </is>
      </c>
      <c r="G213" t="inlineStr">
        <is>
          <t>1</t>
        </is>
      </c>
      <c r="H213" t="inlineStr">
        <is>
          <t>No</t>
        </is>
      </c>
      <c r="I213" t="inlineStr">
        <is>
          <t>No</t>
        </is>
      </c>
      <c r="J213" t="inlineStr">
        <is>
          <t>0</t>
        </is>
      </c>
      <c r="L213" t="inlineStr">
        <is>
          <t>Leipzig-Berlin, Verlag Chemie g.m.b.h., 1924-</t>
        </is>
      </c>
      <c r="M213" t="inlineStr">
        <is>
          <t>1924</t>
        </is>
      </c>
      <c r="N213" t="inlineStr">
        <is>
          <t>8. aufl. Hrsg. von der Deutschen chemischen gesellschaft, bearb. von R.J. Meyer, unter beratender mitwirkung von Franz Peters.</t>
        </is>
      </c>
      <c r="O213" t="inlineStr">
        <is>
          <t>ger</t>
        </is>
      </c>
      <c r="P213" t="inlineStr">
        <is>
          <t xml:space="preserve">xx </t>
        </is>
      </c>
      <c r="R213" t="inlineStr">
        <is>
          <t xml:space="preserve">QD </t>
        </is>
      </c>
      <c r="S213" t="n">
        <v>1</v>
      </c>
      <c r="T213" t="n">
        <v>324</v>
      </c>
      <c r="U213" t="inlineStr">
        <is>
          <t>1998-07-27</t>
        </is>
      </c>
      <c r="V213" t="inlineStr">
        <is>
          <t>1998-07-28</t>
        </is>
      </c>
      <c r="W213" t="inlineStr">
        <is>
          <t>1997-06-05</t>
        </is>
      </c>
      <c r="X213" t="inlineStr">
        <is>
          <t>1998-06-24</t>
        </is>
      </c>
      <c r="Y213" t="n">
        <v>259</v>
      </c>
      <c r="Z213" t="n">
        <v>221</v>
      </c>
      <c r="AA213" t="n">
        <v>223</v>
      </c>
      <c r="AB213" t="n">
        <v>2</v>
      </c>
      <c r="AC213" t="n">
        <v>2</v>
      </c>
      <c r="AD213" t="n">
        <v>10</v>
      </c>
      <c r="AE213" t="n">
        <v>10</v>
      </c>
      <c r="AF213" t="n">
        <v>2</v>
      </c>
      <c r="AG213" t="n">
        <v>2</v>
      </c>
      <c r="AH213" t="n">
        <v>2</v>
      </c>
      <c r="AI213" t="n">
        <v>2</v>
      </c>
      <c r="AJ213" t="n">
        <v>8</v>
      </c>
      <c r="AK213" t="n">
        <v>8</v>
      </c>
      <c r="AL213" t="n">
        <v>1</v>
      </c>
      <c r="AM213" t="n">
        <v>1</v>
      </c>
      <c r="AN213" t="n">
        <v>0</v>
      </c>
      <c r="AO213" t="n">
        <v>0</v>
      </c>
      <c r="AP213" t="inlineStr">
        <is>
          <t>No</t>
        </is>
      </c>
      <c r="AQ213" t="inlineStr">
        <is>
          <t>Yes</t>
        </is>
      </c>
      <c r="AR213">
        <f>HYPERLINK("http://catalog.hathitrust.org/Record/009932175","HathiTrust Record")</f>
        <v/>
      </c>
      <c r="AS213">
        <f>HYPERLINK("https://creighton-primo.hosted.exlibrisgroup.com/primo-explore/search?tab=default_tab&amp;search_scope=EVERYTHING&amp;vid=01CRU&amp;lang=en_US&amp;offset=0&amp;query=any,contains,991005356889702656","Catalog Record")</f>
        <v/>
      </c>
      <c r="AT213">
        <f>HYPERLINK("http://www.worldcat.org/oclc/802031","WorldCat Record")</f>
        <v/>
      </c>
      <c r="AU213" t="inlineStr">
        <is>
          <t>4924721893:ger</t>
        </is>
      </c>
      <c r="AV213" t="inlineStr">
        <is>
          <t>802031</t>
        </is>
      </c>
      <c r="AW213" t="inlineStr">
        <is>
          <t>991005356889702656</t>
        </is>
      </c>
      <c r="AX213" t="inlineStr">
        <is>
          <t>991005356889702656</t>
        </is>
      </c>
      <c r="AY213" t="inlineStr">
        <is>
          <t>2270552310002656</t>
        </is>
      </c>
      <c r="AZ213" t="inlineStr">
        <is>
          <t>BOOK</t>
        </is>
      </c>
      <c r="BC213" t="inlineStr">
        <is>
          <t>32285002790516</t>
        </is>
      </c>
      <c r="BD213" t="inlineStr">
        <is>
          <t>893527392</t>
        </is>
      </c>
    </row>
    <row r="214">
      <c r="A214" t="inlineStr">
        <is>
          <t>No</t>
        </is>
      </c>
      <c r="B214" t="inlineStr">
        <is>
          <t>QD151 .G52 NO. 39 PT. A2</t>
        </is>
      </c>
      <c r="C214" t="inlineStr">
        <is>
          <t>0                      QD 0151000G  52                                                      NO. 39 PT. A2</t>
        </is>
      </c>
      <c r="D214" t="inlineStr">
        <is>
          <t>Gmelins Handbuch der anorganischen chemie.</t>
        </is>
      </c>
      <c r="E214" t="inlineStr">
        <is>
          <t>NO. 39 PT. A2*</t>
        </is>
      </c>
      <c r="F214" t="inlineStr">
        <is>
          <t>Yes</t>
        </is>
      </c>
      <c r="G214" t="inlineStr">
        <is>
          <t>1</t>
        </is>
      </c>
      <c r="H214" t="inlineStr">
        <is>
          <t>No</t>
        </is>
      </c>
      <c r="I214" t="inlineStr">
        <is>
          <t>No</t>
        </is>
      </c>
      <c r="J214" t="inlineStr">
        <is>
          <t>0</t>
        </is>
      </c>
      <c r="L214" t="inlineStr">
        <is>
          <t>Leipzig-Berlin, Verlag Chemie g.m.b.h., 1924-</t>
        </is>
      </c>
      <c r="M214" t="inlineStr">
        <is>
          <t>1924</t>
        </is>
      </c>
      <c r="N214" t="inlineStr">
        <is>
          <t>8. aufl. Hrsg. von der Deutschen chemischen gesellschaft, bearb. von R.J. Meyer, unter beratender mitwirkung von Franz Peters.</t>
        </is>
      </c>
      <c r="O214" t="inlineStr">
        <is>
          <t>ger</t>
        </is>
      </c>
      <c r="P214" t="inlineStr">
        <is>
          <t xml:space="preserve">xx </t>
        </is>
      </c>
      <c r="R214" t="inlineStr">
        <is>
          <t xml:space="preserve">QD </t>
        </is>
      </c>
      <c r="S214" t="n">
        <v>1</v>
      </c>
      <c r="T214" t="n">
        <v>324</v>
      </c>
      <c r="U214" t="inlineStr">
        <is>
          <t>1998-07-27</t>
        </is>
      </c>
      <c r="V214" t="inlineStr">
        <is>
          <t>1998-07-28</t>
        </is>
      </c>
      <c r="W214" t="inlineStr">
        <is>
          <t>1997-06-05</t>
        </is>
      </c>
      <c r="X214" t="inlineStr">
        <is>
          <t>1998-06-24</t>
        </is>
      </c>
      <c r="Y214" t="n">
        <v>259</v>
      </c>
      <c r="Z214" t="n">
        <v>221</v>
      </c>
      <c r="AA214" t="n">
        <v>223</v>
      </c>
      <c r="AB214" t="n">
        <v>2</v>
      </c>
      <c r="AC214" t="n">
        <v>2</v>
      </c>
      <c r="AD214" t="n">
        <v>10</v>
      </c>
      <c r="AE214" t="n">
        <v>10</v>
      </c>
      <c r="AF214" t="n">
        <v>2</v>
      </c>
      <c r="AG214" t="n">
        <v>2</v>
      </c>
      <c r="AH214" t="n">
        <v>2</v>
      </c>
      <c r="AI214" t="n">
        <v>2</v>
      </c>
      <c r="AJ214" t="n">
        <v>8</v>
      </c>
      <c r="AK214" t="n">
        <v>8</v>
      </c>
      <c r="AL214" t="n">
        <v>1</v>
      </c>
      <c r="AM214" t="n">
        <v>1</v>
      </c>
      <c r="AN214" t="n">
        <v>0</v>
      </c>
      <c r="AO214" t="n">
        <v>0</v>
      </c>
      <c r="AP214" t="inlineStr">
        <is>
          <t>No</t>
        </is>
      </c>
      <c r="AQ214" t="inlineStr">
        <is>
          <t>Yes</t>
        </is>
      </c>
      <c r="AR214">
        <f>HYPERLINK("http://catalog.hathitrust.org/Record/009932175","HathiTrust Record")</f>
        <v/>
      </c>
      <c r="AS214">
        <f>HYPERLINK("https://creighton-primo.hosted.exlibrisgroup.com/primo-explore/search?tab=default_tab&amp;search_scope=EVERYTHING&amp;vid=01CRU&amp;lang=en_US&amp;offset=0&amp;query=any,contains,991005356889702656","Catalog Record")</f>
        <v/>
      </c>
      <c r="AT214">
        <f>HYPERLINK("http://www.worldcat.org/oclc/802031","WorldCat Record")</f>
        <v/>
      </c>
      <c r="AU214" t="inlineStr">
        <is>
          <t>4924721893:ger</t>
        </is>
      </c>
      <c r="AV214" t="inlineStr">
        <is>
          <t>802031</t>
        </is>
      </c>
      <c r="AW214" t="inlineStr">
        <is>
          <t>991005356889702656</t>
        </is>
      </c>
      <c r="AX214" t="inlineStr">
        <is>
          <t>991005356889702656</t>
        </is>
      </c>
      <c r="AY214" t="inlineStr">
        <is>
          <t>2270552310002656</t>
        </is>
      </c>
      <c r="AZ214" t="inlineStr">
        <is>
          <t>BOOK</t>
        </is>
      </c>
      <c r="BC214" t="inlineStr">
        <is>
          <t>32285002790524</t>
        </is>
      </c>
      <c r="BD214" t="inlineStr">
        <is>
          <t>893508050</t>
        </is>
      </c>
    </row>
    <row r="215">
      <c r="A215" t="inlineStr">
        <is>
          <t>No</t>
        </is>
      </c>
      <c r="B215" t="inlineStr">
        <is>
          <t>QD151 .G52 NO. 39 PT. B1</t>
        </is>
      </c>
      <c r="C215" t="inlineStr">
        <is>
          <t>0                      QD 0151000G  52                                                      NO. 39 PT. B1</t>
        </is>
      </c>
      <c r="D215" t="inlineStr">
        <is>
          <t>Gmelins Handbuch der anorganischen chemie.</t>
        </is>
      </c>
      <c r="E215" t="inlineStr">
        <is>
          <t>NO. 39 PT. B1*</t>
        </is>
      </c>
      <c r="F215" t="inlineStr">
        <is>
          <t>Yes</t>
        </is>
      </c>
      <c r="G215" t="inlineStr">
        <is>
          <t>1</t>
        </is>
      </c>
      <c r="H215" t="inlineStr">
        <is>
          <t>No</t>
        </is>
      </c>
      <c r="I215" t="inlineStr">
        <is>
          <t>No</t>
        </is>
      </c>
      <c r="J215" t="inlineStr">
        <is>
          <t>0</t>
        </is>
      </c>
      <c r="L215" t="inlineStr">
        <is>
          <t>Leipzig-Berlin, Verlag Chemie g.m.b.h., 1924-</t>
        </is>
      </c>
      <c r="M215" t="inlineStr">
        <is>
          <t>1924</t>
        </is>
      </c>
      <c r="N215" t="inlineStr">
        <is>
          <t>8. aufl. Hrsg. von der Deutschen chemischen gesellschaft, bearb. von R.J. Meyer, unter beratender mitwirkung von Franz Peters.</t>
        </is>
      </c>
      <c r="O215" t="inlineStr">
        <is>
          <t>ger</t>
        </is>
      </c>
      <c r="P215" t="inlineStr">
        <is>
          <t xml:space="preserve">xx </t>
        </is>
      </c>
      <c r="R215" t="inlineStr">
        <is>
          <t xml:space="preserve">QD </t>
        </is>
      </c>
      <c r="S215" t="n">
        <v>3</v>
      </c>
      <c r="T215" t="n">
        <v>324</v>
      </c>
      <c r="U215" t="inlineStr">
        <is>
          <t>1998-07-28</t>
        </is>
      </c>
      <c r="V215" t="inlineStr">
        <is>
          <t>1998-07-28</t>
        </is>
      </c>
      <c r="W215" t="inlineStr">
        <is>
          <t>1997-06-05</t>
        </is>
      </c>
      <c r="X215" t="inlineStr">
        <is>
          <t>1998-06-24</t>
        </is>
      </c>
      <c r="Y215" t="n">
        <v>259</v>
      </c>
      <c r="Z215" t="n">
        <v>221</v>
      </c>
      <c r="AA215" t="n">
        <v>223</v>
      </c>
      <c r="AB215" t="n">
        <v>2</v>
      </c>
      <c r="AC215" t="n">
        <v>2</v>
      </c>
      <c r="AD215" t="n">
        <v>10</v>
      </c>
      <c r="AE215" t="n">
        <v>10</v>
      </c>
      <c r="AF215" t="n">
        <v>2</v>
      </c>
      <c r="AG215" t="n">
        <v>2</v>
      </c>
      <c r="AH215" t="n">
        <v>2</v>
      </c>
      <c r="AI215" t="n">
        <v>2</v>
      </c>
      <c r="AJ215" t="n">
        <v>8</v>
      </c>
      <c r="AK215" t="n">
        <v>8</v>
      </c>
      <c r="AL215" t="n">
        <v>1</v>
      </c>
      <c r="AM215" t="n">
        <v>1</v>
      </c>
      <c r="AN215" t="n">
        <v>0</v>
      </c>
      <c r="AO215" t="n">
        <v>0</v>
      </c>
      <c r="AP215" t="inlineStr">
        <is>
          <t>No</t>
        </is>
      </c>
      <c r="AQ215" t="inlineStr">
        <is>
          <t>Yes</t>
        </is>
      </c>
      <c r="AR215">
        <f>HYPERLINK("http://catalog.hathitrust.org/Record/009932175","HathiTrust Record")</f>
        <v/>
      </c>
      <c r="AS215">
        <f>HYPERLINK("https://creighton-primo.hosted.exlibrisgroup.com/primo-explore/search?tab=default_tab&amp;search_scope=EVERYTHING&amp;vid=01CRU&amp;lang=en_US&amp;offset=0&amp;query=any,contains,991005356889702656","Catalog Record")</f>
        <v/>
      </c>
      <c r="AT215">
        <f>HYPERLINK("http://www.worldcat.org/oclc/802031","WorldCat Record")</f>
        <v/>
      </c>
      <c r="AU215" t="inlineStr">
        <is>
          <t>4924721893:ger</t>
        </is>
      </c>
      <c r="AV215" t="inlineStr">
        <is>
          <t>802031</t>
        </is>
      </c>
      <c r="AW215" t="inlineStr">
        <is>
          <t>991005356889702656</t>
        </is>
      </c>
      <c r="AX215" t="inlineStr">
        <is>
          <t>991005356889702656</t>
        </is>
      </c>
      <c r="AY215" t="inlineStr">
        <is>
          <t>2270552310002656</t>
        </is>
      </c>
      <c r="AZ215" t="inlineStr">
        <is>
          <t>BOOK</t>
        </is>
      </c>
      <c r="BC215" t="inlineStr">
        <is>
          <t>32285002790532</t>
        </is>
      </c>
      <c r="BD215" t="inlineStr">
        <is>
          <t>893533636</t>
        </is>
      </c>
    </row>
    <row r="216">
      <c r="A216" t="inlineStr">
        <is>
          <t>No</t>
        </is>
      </c>
      <c r="B216" t="inlineStr">
        <is>
          <t>QD151 .G52 NO. 39 PT. B2</t>
        </is>
      </c>
      <c r="C216" t="inlineStr">
        <is>
          <t>0                      QD 0151000G  52                                                      NO. 39 PT. B2</t>
        </is>
      </c>
      <c r="D216" t="inlineStr">
        <is>
          <t>Gmelins Handbuch der anorganischen chemie.</t>
        </is>
      </c>
      <c r="E216" t="inlineStr">
        <is>
          <t>NO. 39 PT. B2*</t>
        </is>
      </c>
      <c r="F216" t="inlineStr">
        <is>
          <t>Yes</t>
        </is>
      </c>
      <c r="G216" t="inlineStr">
        <is>
          <t>1</t>
        </is>
      </c>
      <c r="H216" t="inlineStr">
        <is>
          <t>No</t>
        </is>
      </c>
      <c r="I216" t="inlineStr">
        <is>
          <t>No</t>
        </is>
      </c>
      <c r="J216" t="inlineStr">
        <is>
          <t>0</t>
        </is>
      </c>
      <c r="L216" t="inlineStr">
        <is>
          <t>Leipzig-Berlin, Verlag Chemie g.m.b.h., 1924-</t>
        </is>
      </c>
      <c r="M216" t="inlineStr">
        <is>
          <t>1924</t>
        </is>
      </c>
      <c r="N216" t="inlineStr">
        <is>
          <t>8. aufl. Hrsg. von der Deutschen chemischen gesellschaft, bearb. von R.J. Meyer, unter beratender mitwirkung von Franz Peters.</t>
        </is>
      </c>
      <c r="O216" t="inlineStr">
        <is>
          <t>ger</t>
        </is>
      </c>
      <c r="P216" t="inlineStr">
        <is>
          <t xml:space="preserve">xx </t>
        </is>
      </c>
      <c r="R216" t="inlineStr">
        <is>
          <t xml:space="preserve">QD </t>
        </is>
      </c>
      <c r="S216" t="n">
        <v>1</v>
      </c>
      <c r="T216" t="n">
        <v>324</v>
      </c>
      <c r="U216" t="inlineStr">
        <is>
          <t>1998-07-27</t>
        </is>
      </c>
      <c r="V216" t="inlineStr">
        <is>
          <t>1998-07-28</t>
        </is>
      </c>
      <c r="W216" t="inlineStr">
        <is>
          <t>1997-06-05</t>
        </is>
      </c>
      <c r="X216" t="inlineStr">
        <is>
          <t>1998-06-24</t>
        </is>
      </c>
      <c r="Y216" t="n">
        <v>259</v>
      </c>
      <c r="Z216" t="n">
        <v>221</v>
      </c>
      <c r="AA216" t="n">
        <v>223</v>
      </c>
      <c r="AB216" t="n">
        <v>2</v>
      </c>
      <c r="AC216" t="n">
        <v>2</v>
      </c>
      <c r="AD216" t="n">
        <v>10</v>
      </c>
      <c r="AE216" t="n">
        <v>10</v>
      </c>
      <c r="AF216" t="n">
        <v>2</v>
      </c>
      <c r="AG216" t="n">
        <v>2</v>
      </c>
      <c r="AH216" t="n">
        <v>2</v>
      </c>
      <c r="AI216" t="n">
        <v>2</v>
      </c>
      <c r="AJ216" t="n">
        <v>8</v>
      </c>
      <c r="AK216" t="n">
        <v>8</v>
      </c>
      <c r="AL216" t="n">
        <v>1</v>
      </c>
      <c r="AM216" t="n">
        <v>1</v>
      </c>
      <c r="AN216" t="n">
        <v>0</v>
      </c>
      <c r="AO216" t="n">
        <v>0</v>
      </c>
      <c r="AP216" t="inlineStr">
        <is>
          <t>No</t>
        </is>
      </c>
      <c r="AQ216" t="inlineStr">
        <is>
          <t>Yes</t>
        </is>
      </c>
      <c r="AR216">
        <f>HYPERLINK("http://catalog.hathitrust.org/Record/009932175","HathiTrust Record")</f>
        <v/>
      </c>
      <c r="AS216">
        <f>HYPERLINK("https://creighton-primo.hosted.exlibrisgroup.com/primo-explore/search?tab=default_tab&amp;search_scope=EVERYTHING&amp;vid=01CRU&amp;lang=en_US&amp;offset=0&amp;query=any,contains,991005356889702656","Catalog Record")</f>
        <v/>
      </c>
      <c r="AT216">
        <f>HYPERLINK("http://www.worldcat.org/oclc/802031","WorldCat Record")</f>
        <v/>
      </c>
      <c r="AU216" t="inlineStr">
        <is>
          <t>4924721893:ger</t>
        </is>
      </c>
      <c r="AV216" t="inlineStr">
        <is>
          <t>802031</t>
        </is>
      </c>
      <c r="AW216" t="inlineStr">
        <is>
          <t>991005356889702656</t>
        </is>
      </c>
      <c r="AX216" t="inlineStr">
        <is>
          <t>991005356889702656</t>
        </is>
      </c>
      <c r="AY216" t="inlineStr">
        <is>
          <t>2270552310002656</t>
        </is>
      </c>
      <c r="AZ216" t="inlineStr">
        <is>
          <t>BOOK</t>
        </is>
      </c>
      <c r="BC216" t="inlineStr">
        <is>
          <t>32285002790540</t>
        </is>
      </c>
      <c r="BD216" t="inlineStr">
        <is>
          <t>893501759</t>
        </is>
      </c>
    </row>
    <row r="217">
      <c r="A217" t="inlineStr">
        <is>
          <t>No</t>
        </is>
      </c>
      <c r="B217" t="inlineStr">
        <is>
          <t>QD151 .G52 NO. 39 PT. B3</t>
        </is>
      </c>
      <c r="C217" t="inlineStr">
        <is>
          <t>0                      QD 0151000G  52                                                      NO. 39 PT. B3</t>
        </is>
      </c>
      <c r="D217" t="inlineStr">
        <is>
          <t>Gmelins Handbuch der anorganischen chemie.</t>
        </is>
      </c>
      <c r="E217" t="inlineStr">
        <is>
          <t>NO. 39 PT. B3*</t>
        </is>
      </c>
      <c r="F217" t="inlineStr">
        <is>
          <t>Yes</t>
        </is>
      </c>
      <c r="G217" t="inlineStr">
        <is>
          <t>1</t>
        </is>
      </c>
      <c r="H217" t="inlineStr">
        <is>
          <t>No</t>
        </is>
      </c>
      <c r="I217" t="inlineStr">
        <is>
          <t>No</t>
        </is>
      </c>
      <c r="J217" t="inlineStr">
        <is>
          <t>0</t>
        </is>
      </c>
      <c r="L217" t="inlineStr">
        <is>
          <t>Leipzig-Berlin, Verlag Chemie g.m.b.h., 1924-</t>
        </is>
      </c>
      <c r="M217" t="inlineStr">
        <is>
          <t>1924</t>
        </is>
      </c>
      <c r="N217" t="inlineStr">
        <is>
          <t>8. aufl. Hrsg. von der Deutschen chemischen gesellschaft, bearb. von R.J. Meyer, unter beratender mitwirkung von Franz Peters.</t>
        </is>
      </c>
      <c r="O217" t="inlineStr">
        <is>
          <t>ger</t>
        </is>
      </c>
      <c r="P217" t="inlineStr">
        <is>
          <t xml:space="preserve">xx </t>
        </is>
      </c>
      <c r="R217" t="inlineStr">
        <is>
          <t xml:space="preserve">QD </t>
        </is>
      </c>
      <c r="S217" t="n">
        <v>1</v>
      </c>
      <c r="T217" t="n">
        <v>324</v>
      </c>
      <c r="U217" t="inlineStr">
        <is>
          <t>1998-07-27</t>
        </is>
      </c>
      <c r="V217" t="inlineStr">
        <is>
          <t>1998-07-28</t>
        </is>
      </c>
      <c r="W217" t="inlineStr">
        <is>
          <t>1997-06-05</t>
        </is>
      </c>
      <c r="X217" t="inlineStr">
        <is>
          <t>1998-06-24</t>
        </is>
      </c>
      <c r="Y217" t="n">
        <v>259</v>
      </c>
      <c r="Z217" t="n">
        <v>221</v>
      </c>
      <c r="AA217" t="n">
        <v>223</v>
      </c>
      <c r="AB217" t="n">
        <v>2</v>
      </c>
      <c r="AC217" t="n">
        <v>2</v>
      </c>
      <c r="AD217" t="n">
        <v>10</v>
      </c>
      <c r="AE217" t="n">
        <v>10</v>
      </c>
      <c r="AF217" t="n">
        <v>2</v>
      </c>
      <c r="AG217" t="n">
        <v>2</v>
      </c>
      <c r="AH217" t="n">
        <v>2</v>
      </c>
      <c r="AI217" t="n">
        <v>2</v>
      </c>
      <c r="AJ217" t="n">
        <v>8</v>
      </c>
      <c r="AK217" t="n">
        <v>8</v>
      </c>
      <c r="AL217" t="n">
        <v>1</v>
      </c>
      <c r="AM217" t="n">
        <v>1</v>
      </c>
      <c r="AN217" t="n">
        <v>0</v>
      </c>
      <c r="AO217" t="n">
        <v>0</v>
      </c>
      <c r="AP217" t="inlineStr">
        <is>
          <t>No</t>
        </is>
      </c>
      <c r="AQ217" t="inlineStr">
        <is>
          <t>Yes</t>
        </is>
      </c>
      <c r="AR217">
        <f>HYPERLINK("http://catalog.hathitrust.org/Record/009932175","HathiTrust Record")</f>
        <v/>
      </c>
      <c r="AS217">
        <f>HYPERLINK("https://creighton-primo.hosted.exlibrisgroup.com/primo-explore/search?tab=default_tab&amp;search_scope=EVERYTHING&amp;vid=01CRU&amp;lang=en_US&amp;offset=0&amp;query=any,contains,991005356889702656","Catalog Record")</f>
        <v/>
      </c>
      <c r="AT217">
        <f>HYPERLINK("http://www.worldcat.org/oclc/802031","WorldCat Record")</f>
        <v/>
      </c>
      <c r="AU217" t="inlineStr">
        <is>
          <t>4924721893:ger</t>
        </is>
      </c>
      <c r="AV217" t="inlineStr">
        <is>
          <t>802031</t>
        </is>
      </c>
      <c r="AW217" t="inlineStr">
        <is>
          <t>991005356889702656</t>
        </is>
      </c>
      <c r="AX217" t="inlineStr">
        <is>
          <t>991005356889702656</t>
        </is>
      </c>
      <c r="AY217" t="inlineStr">
        <is>
          <t>2270552310002656</t>
        </is>
      </c>
      <c r="AZ217" t="inlineStr">
        <is>
          <t>BOOK</t>
        </is>
      </c>
      <c r="BC217" t="inlineStr">
        <is>
          <t>32285002790557</t>
        </is>
      </c>
      <c r="BD217" t="inlineStr">
        <is>
          <t>893527391</t>
        </is>
      </c>
    </row>
    <row r="218">
      <c r="A218" t="inlineStr">
        <is>
          <t>No</t>
        </is>
      </c>
      <c r="B218" t="inlineStr">
        <is>
          <t>QD151 .G52 NO. 39 PT. B4</t>
        </is>
      </c>
      <c r="C218" t="inlineStr">
        <is>
          <t>0                      QD 0151000G  52                                                      NO. 39 PT. B4</t>
        </is>
      </c>
      <c r="D218" t="inlineStr">
        <is>
          <t>Gmelins Handbuch der anorganischen chemie.</t>
        </is>
      </c>
      <c r="E218" t="inlineStr">
        <is>
          <t>NO. 39 PT. B4*</t>
        </is>
      </c>
      <c r="F218" t="inlineStr">
        <is>
          <t>Yes</t>
        </is>
      </c>
      <c r="G218" t="inlineStr">
        <is>
          <t>1</t>
        </is>
      </c>
      <c r="H218" t="inlineStr">
        <is>
          <t>No</t>
        </is>
      </c>
      <c r="I218" t="inlineStr">
        <is>
          <t>No</t>
        </is>
      </c>
      <c r="J218" t="inlineStr">
        <is>
          <t>0</t>
        </is>
      </c>
      <c r="L218" t="inlineStr">
        <is>
          <t>Leipzig-Berlin, Verlag Chemie g.m.b.h., 1924-</t>
        </is>
      </c>
      <c r="M218" t="inlineStr">
        <is>
          <t>1924</t>
        </is>
      </c>
      <c r="N218" t="inlineStr">
        <is>
          <t>8. aufl. Hrsg. von der Deutschen chemischen gesellschaft, bearb. von R.J. Meyer, unter beratender mitwirkung von Franz Peters.</t>
        </is>
      </c>
      <c r="O218" t="inlineStr">
        <is>
          <t>ger</t>
        </is>
      </c>
      <c r="P218" t="inlineStr">
        <is>
          <t xml:space="preserve">xx </t>
        </is>
      </c>
      <c r="R218" t="inlineStr">
        <is>
          <t xml:space="preserve">QD </t>
        </is>
      </c>
      <c r="S218" t="n">
        <v>1</v>
      </c>
      <c r="T218" t="n">
        <v>324</v>
      </c>
      <c r="U218" t="inlineStr">
        <is>
          <t>1998-07-27</t>
        </is>
      </c>
      <c r="V218" t="inlineStr">
        <is>
          <t>1998-07-28</t>
        </is>
      </c>
      <c r="W218" t="inlineStr">
        <is>
          <t>1997-06-05</t>
        </is>
      </c>
      <c r="X218" t="inlineStr">
        <is>
          <t>1998-06-24</t>
        </is>
      </c>
      <c r="Y218" t="n">
        <v>259</v>
      </c>
      <c r="Z218" t="n">
        <v>221</v>
      </c>
      <c r="AA218" t="n">
        <v>223</v>
      </c>
      <c r="AB218" t="n">
        <v>2</v>
      </c>
      <c r="AC218" t="n">
        <v>2</v>
      </c>
      <c r="AD218" t="n">
        <v>10</v>
      </c>
      <c r="AE218" t="n">
        <v>10</v>
      </c>
      <c r="AF218" t="n">
        <v>2</v>
      </c>
      <c r="AG218" t="n">
        <v>2</v>
      </c>
      <c r="AH218" t="n">
        <v>2</v>
      </c>
      <c r="AI218" t="n">
        <v>2</v>
      </c>
      <c r="AJ218" t="n">
        <v>8</v>
      </c>
      <c r="AK218" t="n">
        <v>8</v>
      </c>
      <c r="AL218" t="n">
        <v>1</v>
      </c>
      <c r="AM218" t="n">
        <v>1</v>
      </c>
      <c r="AN218" t="n">
        <v>0</v>
      </c>
      <c r="AO218" t="n">
        <v>0</v>
      </c>
      <c r="AP218" t="inlineStr">
        <is>
          <t>No</t>
        </is>
      </c>
      <c r="AQ218" t="inlineStr">
        <is>
          <t>Yes</t>
        </is>
      </c>
      <c r="AR218">
        <f>HYPERLINK("http://catalog.hathitrust.org/Record/009932175","HathiTrust Record")</f>
        <v/>
      </c>
      <c r="AS218">
        <f>HYPERLINK("https://creighton-primo.hosted.exlibrisgroup.com/primo-explore/search?tab=default_tab&amp;search_scope=EVERYTHING&amp;vid=01CRU&amp;lang=en_US&amp;offset=0&amp;query=any,contains,991005356889702656","Catalog Record")</f>
        <v/>
      </c>
      <c r="AT218">
        <f>HYPERLINK("http://www.worldcat.org/oclc/802031","WorldCat Record")</f>
        <v/>
      </c>
      <c r="AU218" t="inlineStr">
        <is>
          <t>4924721893:ger</t>
        </is>
      </c>
      <c r="AV218" t="inlineStr">
        <is>
          <t>802031</t>
        </is>
      </c>
      <c r="AW218" t="inlineStr">
        <is>
          <t>991005356889702656</t>
        </is>
      </c>
      <c r="AX218" t="inlineStr">
        <is>
          <t>991005356889702656</t>
        </is>
      </c>
      <c r="AY218" t="inlineStr">
        <is>
          <t>2270552310002656</t>
        </is>
      </c>
      <c r="AZ218" t="inlineStr">
        <is>
          <t>BOOK</t>
        </is>
      </c>
      <c r="BC218" t="inlineStr">
        <is>
          <t>32285002790565</t>
        </is>
      </c>
      <c r="BD218" t="inlineStr">
        <is>
          <t>893533635</t>
        </is>
      </c>
    </row>
    <row r="219">
      <c r="A219" t="inlineStr">
        <is>
          <t>No</t>
        </is>
      </c>
      <c r="B219" t="inlineStr">
        <is>
          <t>QD151 .G52 NO. 39 PT. B5</t>
        </is>
      </c>
      <c r="C219" t="inlineStr">
        <is>
          <t>0                      QD 0151000G  52                                                      NO. 39 PT. B5</t>
        </is>
      </c>
      <c r="D219" t="inlineStr">
        <is>
          <t>Gmelins Handbuch der anorganischen chemie.</t>
        </is>
      </c>
      <c r="E219" t="inlineStr">
        <is>
          <t>NO. 39 PT. B5*</t>
        </is>
      </c>
      <c r="F219" t="inlineStr">
        <is>
          <t>Yes</t>
        </is>
      </c>
      <c r="G219" t="inlineStr">
        <is>
          <t>1</t>
        </is>
      </c>
      <c r="H219" t="inlineStr">
        <is>
          <t>No</t>
        </is>
      </c>
      <c r="I219" t="inlineStr">
        <is>
          <t>No</t>
        </is>
      </c>
      <c r="J219" t="inlineStr">
        <is>
          <t>0</t>
        </is>
      </c>
      <c r="L219" t="inlineStr">
        <is>
          <t>Leipzig-Berlin, Verlag Chemie g.m.b.h., 1924-</t>
        </is>
      </c>
      <c r="M219" t="inlineStr">
        <is>
          <t>1924</t>
        </is>
      </c>
      <c r="N219" t="inlineStr">
        <is>
          <t>8. aufl. Hrsg. von der Deutschen chemischen gesellschaft, bearb. von R.J. Meyer, unter beratender mitwirkung von Franz Peters.</t>
        </is>
      </c>
      <c r="O219" t="inlineStr">
        <is>
          <t>ger</t>
        </is>
      </c>
      <c r="P219" t="inlineStr">
        <is>
          <t xml:space="preserve">xx </t>
        </is>
      </c>
      <c r="R219" t="inlineStr">
        <is>
          <t xml:space="preserve">QD </t>
        </is>
      </c>
      <c r="S219" t="n">
        <v>1</v>
      </c>
      <c r="T219" t="n">
        <v>324</v>
      </c>
      <c r="U219" t="inlineStr">
        <is>
          <t>1998-07-27</t>
        </is>
      </c>
      <c r="V219" t="inlineStr">
        <is>
          <t>1998-07-28</t>
        </is>
      </c>
      <c r="W219" t="inlineStr">
        <is>
          <t>1997-06-05</t>
        </is>
      </c>
      <c r="X219" t="inlineStr">
        <is>
          <t>1998-06-24</t>
        </is>
      </c>
      <c r="Y219" t="n">
        <v>259</v>
      </c>
      <c r="Z219" t="n">
        <v>221</v>
      </c>
      <c r="AA219" t="n">
        <v>223</v>
      </c>
      <c r="AB219" t="n">
        <v>2</v>
      </c>
      <c r="AC219" t="n">
        <v>2</v>
      </c>
      <c r="AD219" t="n">
        <v>10</v>
      </c>
      <c r="AE219" t="n">
        <v>10</v>
      </c>
      <c r="AF219" t="n">
        <v>2</v>
      </c>
      <c r="AG219" t="n">
        <v>2</v>
      </c>
      <c r="AH219" t="n">
        <v>2</v>
      </c>
      <c r="AI219" t="n">
        <v>2</v>
      </c>
      <c r="AJ219" t="n">
        <v>8</v>
      </c>
      <c r="AK219" t="n">
        <v>8</v>
      </c>
      <c r="AL219" t="n">
        <v>1</v>
      </c>
      <c r="AM219" t="n">
        <v>1</v>
      </c>
      <c r="AN219" t="n">
        <v>0</v>
      </c>
      <c r="AO219" t="n">
        <v>0</v>
      </c>
      <c r="AP219" t="inlineStr">
        <is>
          <t>No</t>
        </is>
      </c>
      <c r="AQ219" t="inlineStr">
        <is>
          <t>Yes</t>
        </is>
      </c>
      <c r="AR219">
        <f>HYPERLINK("http://catalog.hathitrust.org/Record/009932175","HathiTrust Record")</f>
        <v/>
      </c>
      <c r="AS219">
        <f>HYPERLINK("https://creighton-primo.hosted.exlibrisgroup.com/primo-explore/search?tab=default_tab&amp;search_scope=EVERYTHING&amp;vid=01CRU&amp;lang=en_US&amp;offset=0&amp;query=any,contains,991005356889702656","Catalog Record")</f>
        <v/>
      </c>
      <c r="AT219">
        <f>HYPERLINK("http://www.worldcat.org/oclc/802031","WorldCat Record")</f>
        <v/>
      </c>
      <c r="AU219" t="inlineStr">
        <is>
          <t>4924721893:ger</t>
        </is>
      </c>
      <c r="AV219" t="inlineStr">
        <is>
          <t>802031</t>
        </is>
      </c>
      <c r="AW219" t="inlineStr">
        <is>
          <t>991005356889702656</t>
        </is>
      </c>
      <c r="AX219" t="inlineStr">
        <is>
          <t>991005356889702656</t>
        </is>
      </c>
      <c r="AY219" t="inlineStr">
        <is>
          <t>2270552310002656</t>
        </is>
      </c>
      <c r="AZ219" t="inlineStr">
        <is>
          <t>BOOK</t>
        </is>
      </c>
      <c r="BC219" t="inlineStr">
        <is>
          <t>32285002790573</t>
        </is>
      </c>
      <c r="BD219" t="inlineStr">
        <is>
          <t>893501769</t>
        </is>
      </c>
    </row>
    <row r="220">
      <c r="A220" t="inlineStr">
        <is>
          <t>No</t>
        </is>
      </c>
      <c r="B220" t="inlineStr">
        <is>
          <t>QD151 .G52 NO. 39 PT. B6</t>
        </is>
      </c>
      <c r="C220" t="inlineStr">
        <is>
          <t>0                      QD 0151000G  52                                                      NO. 39 PT. B6</t>
        </is>
      </c>
      <c r="D220" t="inlineStr">
        <is>
          <t>Gmelins Handbuch der anorganischen chemie.</t>
        </is>
      </c>
      <c r="E220" t="inlineStr">
        <is>
          <t>NO. 39 PT. B6*</t>
        </is>
      </c>
      <c r="F220" t="inlineStr">
        <is>
          <t>Yes</t>
        </is>
      </c>
      <c r="G220" t="inlineStr">
        <is>
          <t>1</t>
        </is>
      </c>
      <c r="H220" t="inlineStr">
        <is>
          <t>No</t>
        </is>
      </c>
      <c r="I220" t="inlineStr">
        <is>
          <t>No</t>
        </is>
      </c>
      <c r="J220" t="inlineStr">
        <is>
          <t>0</t>
        </is>
      </c>
      <c r="L220" t="inlineStr">
        <is>
          <t>Leipzig-Berlin, Verlag Chemie g.m.b.h., 1924-</t>
        </is>
      </c>
      <c r="M220" t="inlineStr">
        <is>
          <t>1924</t>
        </is>
      </c>
      <c r="N220" t="inlineStr">
        <is>
          <t>8. aufl. Hrsg. von der Deutschen chemischen gesellschaft, bearb. von R.J. Meyer, unter beratender mitwirkung von Franz Peters.</t>
        </is>
      </c>
      <c r="O220" t="inlineStr">
        <is>
          <t>ger</t>
        </is>
      </c>
      <c r="P220" t="inlineStr">
        <is>
          <t xml:space="preserve">xx </t>
        </is>
      </c>
      <c r="R220" t="inlineStr">
        <is>
          <t xml:space="preserve">QD </t>
        </is>
      </c>
      <c r="S220" t="n">
        <v>1</v>
      </c>
      <c r="T220" t="n">
        <v>324</v>
      </c>
      <c r="U220" t="inlineStr">
        <is>
          <t>1998-07-27</t>
        </is>
      </c>
      <c r="V220" t="inlineStr">
        <is>
          <t>1998-07-28</t>
        </is>
      </c>
      <c r="W220" t="inlineStr">
        <is>
          <t>1997-06-09</t>
        </is>
      </c>
      <c r="X220" t="inlineStr">
        <is>
          <t>1998-06-24</t>
        </is>
      </c>
      <c r="Y220" t="n">
        <v>259</v>
      </c>
      <c r="Z220" t="n">
        <v>221</v>
      </c>
      <c r="AA220" t="n">
        <v>223</v>
      </c>
      <c r="AB220" t="n">
        <v>2</v>
      </c>
      <c r="AC220" t="n">
        <v>2</v>
      </c>
      <c r="AD220" t="n">
        <v>10</v>
      </c>
      <c r="AE220" t="n">
        <v>10</v>
      </c>
      <c r="AF220" t="n">
        <v>2</v>
      </c>
      <c r="AG220" t="n">
        <v>2</v>
      </c>
      <c r="AH220" t="n">
        <v>2</v>
      </c>
      <c r="AI220" t="n">
        <v>2</v>
      </c>
      <c r="AJ220" t="n">
        <v>8</v>
      </c>
      <c r="AK220" t="n">
        <v>8</v>
      </c>
      <c r="AL220" t="n">
        <v>1</v>
      </c>
      <c r="AM220" t="n">
        <v>1</v>
      </c>
      <c r="AN220" t="n">
        <v>0</v>
      </c>
      <c r="AO220" t="n">
        <v>0</v>
      </c>
      <c r="AP220" t="inlineStr">
        <is>
          <t>No</t>
        </is>
      </c>
      <c r="AQ220" t="inlineStr">
        <is>
          <t>Yes</t>
        </is>
      </c>
      <c r="AR220">
        <f>HYPERLINK("http://catalog.hathitrust.org/Record/009932175","HathiTrust Record")</f>
        <v/>
      </c>
      <c r="AS220">
        <f>HYPERLINK("https://creighton-primo.hosted.exlibrisgroup.com/primo-explore/search?tab=default_tab&amp;search_scope=EVERYTHING&amp;vid=01CRU&amp;lang=en_US&amp;offset=0&amp;query=any,contains,991005356889702656","Catalog Record")</f>
        <v/>
      </c>
      <c r="AT220">
        <f>HYPERLINK("http://www.worldcat.org/oclc/802031","WorldCat Record")</f>
        <v/>
      </c>
      <c r="AU220" t="inlineStr">
        <is>
          <t>4924721893:ger</t>
        </is>
      </c>
      <c r="AV220" t="inlineStr">
        <is>
          <t>802031</t>
        </is>
      </c>
      <c r="AW220" t="inlineStr">
        <is>
          <t>991005356889702656</t>
        </is>
      </c>
      <c r="AX220" t="inlineStr">
        <is>
          <t>991005356889702656</t>
        </is>
      </c>
      <c r="AY220" t="inlineStr">
        <is>
          <t>2270552310002656</t>
        </is>
      </c>
      <c r="AZ220" t="inlineStr">
        <is>
          <t>BOOK</t>
        </is>
      </c>
      <c r="BC220" t="inlineStr">
        <is>
          <t>32285002790581</t>
        </is>
      </c>
      <c r="BD220" t="inlineStr">
        <is>
          <t>893501758</t>
        </is>
      </c>
    </row>
    <row r="221">
      <c r="A221" t="inlineStr">
        <is>
          <t>No</t>
        </is>
      </c>
      <c r="B221" t="inlineStr">
        <is>
          <t>QD151 .G52 NO. 39 PT. C1</t>
        </is>
      </c>
      <c r="C221" t="inlineStr">
        <is>
          <t>0                      QD 0151000G  52                                                      NO. 39 PT. C1</t>
        </is>
      </c>
      <c r="D221" t="inlineStr">
        <is>
          <t>Gmelins Handbuch der anorganischen chemie.</t>
        </is>
      </c>
      <c r="E221" t="inlineStr">
        <is>
          <t>NO. 39 PT. C1*</t>
        </is>
      </c>
      <c r="F221" t="inlineStr">
        <is>
          <t>Yes</t>
        </is>
      </c>
      <c r="G221" t="inlineStr">
        <is>
          <t>1</t>
        </is>
      </c>
      <c r="H221" t="inlineStr">
        <is>
          <t>No</t>
        </is>
      </c>
      <c r="I221" t="inlineStr">
        <is>
          <t>No</t>
        </is>
      </c>
      <c r="J221" t="inlineStr">
        <is>
          <t>0</t>
        </is>
      </c>
      <c r="L221" t="inlineStr">
        <is>
          <t>Leipzig-Berlin, Verlag Chemie g.m.b.h., 1924-</t>
        </is>
      </c>
      <c r="M221" t="inlineStr">
        <is>
          <t>1924</t>
        </is>
      </c>
      <c r="N221" t="inlineStr">
        <is>
          <t>8. aufl. Hrsg. von der Deutschen chemischen gesellschaft, bearb. von R.J. Meyer, unter beratender mitwirkung von Franz Peters.</t>
        </is>
      </c>
      <c r="O221" t="inlineStr">
        <is>
          <t>ger</t>
        </is>
      </c>
      <c r="P221" t="inlineStr">
        <is>
          <t xml:space="preserve">xx </t>
        </is>
      </c>
      <c r="R221" t="inlineStr">
        <is>
          <t xml:space="preserve">QD </t>
        </is>
      </c>
      <c r="S221" t="n">
        <v>1</v>
      </c>
      <c r="T221" t="n">
        <v>324</v>
      </c>
      <c r="U221" t="inlineStr">
        <is>
          <t>1998-07-27</t>
        </is>
      </c>
      <c r="V221" t="inlineStr">
        <is>
          <t>1998-07-28</t>
        </is>
      </c>
      <c r="W221" t="inlineStr">
        <is>
          <t>1997-06-05</t>
        </is>
      </c>
      <c r="X221" t="inlineStr">
        <is>
          <t>1998-06-24</t>
        </is>
      </c>
      <c r="Y221" t="n">
        <v>259</v>
      </c>
      <c r="Z221" t="n">
        <v>221</v>
      </c>
      <c r="AA221" t="n">
        <v>223</v>
      </c>
      <c r="AB221" t="n">
        <v>2</v>
      </c>
      <c r="AC221" t="n">
        <v>2</v>
      </c>
      <c r="AD221" t="n">
        <v>10</v>
      </c>
      <c r="AE221" t="n">
        <v>10</v>
      </c>
      <c r="AF221" t="n">
        <v>2</v>
      </c>
      <c r="AG221" t="n">
        <v>2</v>
      </c>
      <c r="AH221" t="n">
        <v>2</v>
      </c>
      <c r="AI221" t="n">
        <v>2</v>
      </c>
      <c r="AJ221" t="n">
        <v>8</v>
      </c>
      <c r="AK221" t="n">
        <v>8</v>
      </c>
      <c r="AL221" t="n">
        <v>1</v>
      </c>
      <c r="AM221" t="n">
        <v>1</v>
      </c>
      <c r="AN221" t="n">
        <v>0</v>
      </c>
      <c r="AO221" t="n">
        <v>0</v>
      </c>
      <c r="AP221" t="inlineStr">
        <is>
          <t>No</t>
        </is>
      </c>
      <c r="AQ221" t="inlineStr">
        <is>
          <t>Yes</t>
        </is>
      </c>
      <c r="AR221">
        <f>HYPERLINK("http://catalog.hathitrust.org/Record/009932175","HathiTrust Record")</f>
        <v/>
      </c>
      <c r="AS221">
        <f>HYPERLINK("https://creighton-primo.hosted.exlibrisgroup.com/primo-explore/search?tab=default_tab&amp;search_scope=EVERYTHING&amp;vid=01CRU&amp;lang=en_US&amp;offset=0&amp;query=any,contains,991005356889702656","Catalog Record")</f>
        <v/>
      </c>
      <c r="AT221">
        <f>HYPERLINK("http://www.worldcat.org/oclc/802031","WorldCat Record")</f>
        <v/>
      </c>
      <c r="AU221" t="inlineStr">
        <is>
          <t>4924721893:ger</t>
        </is>
      </c>
      <c r="AV221" t="inlineStr">
        <is>
          <t>802031</t>
        </is>
      </c>
      <c r="AW221" t="inlineStr">
        <is>
          <t>991005356889702656</t>
        </is>
      </c>
      <c r="AX221" t="inlineStr">
        <is>
          <t>991005356889702656</t>
        </is>
      </c>
      <c r="AY221" t="inlineStr">
        <is>
          <t>2270552310002656</t>
        </is>
      </c>
      <c r="AZ221" t="inlineStr">
        <is>
          <t>BOOK</t>
        </is>
      </c>
      <c r="BC221" t="inlineStr">
        <is>
          <t>32285002790599</t>
        </is>
      </c>
      <c r="BD221" t="inlineStr">
        <is>
          <t>893520917</t>
        </is>
      </c>
    </row>
    <row r="222">
      <c r="A222" t="inlineStr">
        <is>
          <t>No</t>
        </is>
      </c>
      <c r="B222" t="inlineStr">
        <is>
          <t>QD151 .G52 NO. 39 PT. C2</t>
        </is>
      </c>
      <c r="C222" t="inlineStr">
        <is>
          <t>0                      QD 0151000G  52                                                      NO. 39 PT. C2</t>
        </is>
      </c>
      <c r="D222" t="inlineStr">
        <is>
          <t>Gmelins Handbuch der anorganischen chemie.</t>
        </is>
      </c>
      <c r="E222" t="inlineStr">
        <is>
          <t>NO. 39 PT. C2*</t>
        </is>
      </c>
      <c r="F222" t="inlineStr">
        <is>
          <t>Yes</t>
        </is>
      </c>
      <c r="G222" t="inlineStr">
        <is>
          <t>1</t>
        </is>
      </c>
      <c r="H222" t="inlineStr">
        <is>
          <t>No</t>
        </is>
      </c>
      <c r="I222" t="inlineStr">
        <is>
          <t>No</t>
        </is>
      </c>
      <c r="J222" t="inlineStr">
        <is>
          <t>0</t>
        </is>
      </c>
      <c r="L222" t="inlineStr">
        <is>
          <t>Leipzig-Berlin, Verlag Chemie g.m.b.h., 1924-</t>
        </is>
      </c>
      <c r="M222" t="inlineStr">
        <is>
          <t>1924</t>
        </is>
      </c>
      <c r="N222" t="inlineStr">
        <is>
          <t>8. aufl. Hrsg. von der Deutschen chemischen gesellschaft, bearb. von R.J. Meyer, unter beratender mitwirkung von Franz Peters.</t>
        </is>
      </c>
      <c r="O222" t="inlineStr">
        <is>
          <t>ger</t>
        </is>
      </c>
      <c r="P222" t="inlineStr">
        <is>
          <t xml:space="preserve">xx </t>
        </is>
      </c>
      <c r="R222" t="inlineStr">
        <is>
          <t xml:space="preserve">QD </t>
        </is>
      </c>
      <c r="S222" t="n">
        <v>1</v>
      </c>
      <c r="T222" t="n">
        <v>324</v>
      </c>
      <c r="U222" t="inlineStr">
        <is>
          <t>1998-07-27</t>
        </is>
      </c>
      <c r="V222" t="inlineStr">
        <is>
          <t>1998-07-28</t>
        </is>
      </c>
      <c r="W222" t="inlineStr">
        <is>
          <t>1997-06-05</t>
        </is>
      </c>
      <c r="X222" t="inlineStr">
        <is>
          <t>1998-06-24</t>
        </is>
      </c>
      <c r="Y222" t="n">
        <v>259</v>
      </c>
      <c r="Z222" t="n">
        <v>221</v>
      </c>
      <c r="AA222" t="n">
        <v>223</v>
      </c>
      <c r="AB222" t="n">
        <v>2</v>
      </c>
      <c r="AC222" t="n">
        <v>2</v>
      </c>
      <c r="AD222" t="n">
        <v>10</v>
      </c>
      <c r="AE222" t="n">
        <v>10</v>
      </c>
      <c r="AF222" t="n">
        <v>2</v>
      </c>
      <c r="AG222" t="n">
        <v>2</v>
      </c>
      <c r="AH222" t="n">
        <v>2</v>
      </c>
      <c r="AI222" t="n">
        <v>2</v>
      </c>
      <c r="AJ222" t="n">
        <v>8</v>
      </c>
      <c r="AK222" t="n">
        <v>8</v>
      </c>
      <c r="AL222" t="n">
        <v>1</v>
      </c>
      <c r="AM222" t="n">
        <v>1</v>
      </c>
      <c r="AN222" t="n">
        <v>0</v>
      </c>
      <c r="AO222" t="n">
        <v>0</v>
      </c>
      <c r="AP222" t="inlineStr">
        <is>
          <t>No</t>
        </is>
      </c>
      <c r="AQ222" t="inlineStr">
        <is>
          <t>Yes</t>
        </is>
      </c>
      <c r="AR222">
        <f>HYPERLINK("http://catalog.hathitrust.org/Record/009932175","HathiTrust Record")</f>
        <v/>
      </c>
      <c r="AS222">
        <f>HYPERLINK("https://creighton-primo.hosted.exlibrisgroup.com/primo-explore/search?tab=default_tab&amp;search_scope=EVERYTHING&amp;vid=01CRU&amp;lang=en_US&amp;offset=0&amp;query=any,contains,991005356889702656","Catalog Record")</f>
        <v/>
      </c>
      <c r="AT222">
        <f>HYPERLINK("http://www.worldcat.org/oclc/802031","WorldCat Record")</f>
        <v/>
      </c>
      <c r="AU222" t="inlineStr">
        <is>
          <t>4924721893:ger</t>
        </is>
      </c>
      <c r="AV222" t="inlineStr">
        <is>
          <t>802031</t>
        </is>
      </c>
      <c r="AW222" t="inlineStr">
        <is>
          <t>991005356889702656</t>
        </is>
      </c>
      <c r="AX222" t="inlineStr">
        <is>
          <t>991005356889702656</t>
        </is>
      </c>
      <c r="AY222" t="inlineStr">
        <is>
          <t>2270552310002656</t>
        </is>
      </c>
      <c r="AZ222" t="inlineStr">
        <is>
          <t>BOOK</t>
        </is>
      </c>
      <c r="BC222" t="inlineStr">
        <is>
          <t>32285002790607</t>
        </is>
      </c>
      <c r="BD222" t="inlineStr">
        <is>
          <t>893501757</t>
        </is>
      </c>
    </row>
    <row r="223">
      <c r="A223" t="inlineStr">
        <is>
          <t>No</t>
        </is>
      </c>
      <c r="B223" t="inlineStr">
        <is>
          <t>QD151 .G52 NO. 39 PT. C3</t>
        </is>
      </c>
      <c r="C223" t="inlineStr">
        <is>
          <t>0                      QD 0151000G  52                                                      NO. 39 PT. C3</t>
        </is>
      </c>
      <c r="D223" t="inlineStr">
        <is>
          <t>Gmelins Handbuch der anorganischen chemie.</t>
        </is>
      </c>
      <c r="E223" t="inlineStr">
        <is>
          <t>NO. 39 PT. C3*</t>
        </is>
      </c>
      <c r="F223" t="inlineStr">
        <is>
          <t>Yes</t>
        </is>
      </c>
      <c r="G223" t="inlineStr">
        <is>
          <t>1</t>
        </is>
      </c>
      <c r="H223" t="inlineStr">
        <is>
          <t>No</t>
        </is>
      </c>
      <c r="I223" t="inlineStr">
        <is>
          <t>No</t>
        </is>
      </c>
      <c r="J223" t="inlineStr">
        <is>
          <t>0</t>
        </is>
      </c>
      <c r="L223" t="inlineStr">
        <is>
          <t>Leipzig-Berlin, Verlag Chemie g.m.b.h., 1924-</t>
        </is>
      </c>
      <c r="M223" t="inlineStr">
        <is>
          <t>1924</t>
        </is>
      </c>
      <c r="N223" t="inlineStr">
        <is>
          <t>8. aufl. Hrsg. von der Deutschen chemischen gesellschaft, bearb. von R.J. Meyer, unter beratender mitwirkung von Franz Peters.</t>
        </is>
      </c>
      <c r="O223" t="inlineStr">
        <is>
          <t>ger</t>
        </is>
      </c>
      <c r="P223" t="inlineStr">
        <is>
          <t xml:space="preserve">xx </t>
        </is>
      </c>
      <c r="R223" t="inlineStr">
        <is>
          <t xml:space="preserve">QD </t>
        </is>
      </c>
      <c r="S223" t="n">
        <v>1</v>
      </c>
      <c r="T223" t="n">
        <v>324</v>
      </c>
      <c r="U223" t="inlineStr">
        <is>
          <t>1998-07-27</t>
        </is>
      </c>
      <c r="V223" t="inlineStr">
        <is>
          <t>1998-07-28</t>
        </is>
      </c>
      <c r="W223" t="inlineStr">
        <is>
          <t>1997-06-05</t>
        </is>
      </c>
      <c r="X223" t="inlineStr">
        <is>
          <t>1998-06-24</t>
        </is>
      </c>
      <c r="Y223" t="n">
        <v>259</v>
      </c>
      <c r="Z223" t="n">
        <v>221</v>
      </c>
      <c r="AA223" t="n">
        <v>223</v>
      </c>
      <c r="AB223" t="n">
        <v>2</v>
      </c>
      <c r="AC223" t="n">
        <v>2</v>
      </c>
      <c r="AD223" t="n">
        <v>10</v>
      </c>
      <c r="AE223" t="n">
        <v>10</v>
      </c>
      <c r="AF223" t="n">
        <v>2</v>
      </c>
      <c r="AG223" t="n">
        <v>2</v>
      </c>
      <c r="AH223" t="n">
        <v>2</v>
      </c>
      <c r="AI223" t="n">
        <v>2</v>
      </c>
      <c r="AJ223" t="n">
        <v>8</v>
      </c>
      <c r="AK223" t="n">
        <v>8</v>
      </c>
      <c r="AL223" t="n">
        <v>1</v>
      </c>
      <c r="AM223" t="n">
        <v>1</v>
      </c>
      <c r="AN223" t="n">
        <v>0</v>
      </c>
      <c r="AO223" t="n">
        <v>0</v>
      </c>
      <c r="AP223" t="inlineStr">
        <is>
          <t>No</t>
        </is>
      </c>
      <c r="AQ223" t="inlineStr">
        <is>
          <t>Yes</t>
        </is>
      </c>
      <c r="AR223">
        <f>HYPERLINK("http://catalog.hathitrust.org/Record/009932175","HathiTrust Record")</f>
        <v/>
      </c>
      <c r="AS223">
        <f>HYPERLINK("https://creighton-primo.hosted.exlibrisgroup.com/primo-explore/search?tab=default_tab&amp;search_scope=EVERYTHING&amp;vid=01CRU&amp;lang=en_US&amp;offset=0&amp;query=any,contains,991005356889702656","Catalog Record")</f>
        <v/>
      </c>
      <c r="AT223">
        <f>HYPERLINK("http://www.worldcat.org/oclc/802031","WorldCat Record")</f>
        <v/>
      </c>
      <c r="AU223" t="inlineStr">
        <is>
          <t>4924721893:ger</t>
        </is>
      </c>
      <c r="AV223" t="inlineStr">
        <is>
          <t>802031</t>
        </is>
      </c>
      <c r="AW223" t="inlineStr">
        <is>
          <t>991005356889702656</t>
        </is>
      </c>
      <c r="AX223" t="inlineStr">
        <is>
          <t>991005356889702656</t>
        </is>
      </c>
      <c r="AY223" t="inlineStr">
        <is>
          <t>2270552310002656</t>
        </is>
      </c>
      <c r="AZ223" t="inlineStr">
        <is>
          <t>BOOK</t>
        </is>
      </c>
      <c r="BC223" t="inlineStr">
        <is>
          <t>32285002790615</t>
        </is>
      </c>
      <c r="BD223" t="inlineStr">
        <is>
          <t>893533634</t>
        </is>
      </c>
    </row>
    <row r="224">
      <c r="A224" t="inlineStr">
        <is>
          <t>No</t>
        </is>
      </c>
      <c r="B224" t="inlineStr">
        <is>
          <t>QD151 .G52 NO. 39 PT. C5</t>
        </is>
      </c>
      <c r="C224" t="inlineStr">
        <is>
          <t>0                      QD 0151000G  52                                                      NO. 39 PT. C5</t>
        </is>
      </c>
      <c r="D224" t="inlineStr">
        <is>
          <t>Gmelins Handbuch der anorganischen chemie.</t>
        </is>
      </c>
      <c r="E224" t="inlineStr">
        <is>
          <t>NO. 39 PT. C5*</t>
        </is>
      </c>
      <c r="F224" t="inlineStr">
        <is>
          <t>Yes</t>
        </is>
      </c>
      <c r="G224" t="inlineStr">
        <is>
          <t>1</t>
        </is>
      </c>
      <c r="H224" t="inlineStr">
        <is>
          <t>No</t>
        </is>
      </c>
      <c r="I224" t="inlineStr">
        <is>
          <t>No</t>
        </is>
      </c>
      <c r="J224" t="inlineStr">
        <is>
          <t>0</t>
        </is>
      </c>
      <c r="L224" t="inlineStr">
        <is>
          <t>Leipzig-Berlin, Verlag Chemie g.m.b.h., 1924-</t>
        </is>
      </c>
      <c r="M224" t="inlineStr">
        <is>
          <t>1924</t>
        </is>
      </c>
      <c r="N224" t="inlineStr">
        <is>
          <t>8. aufl. Hrsg. von der Deutschen chemischen gesellschaft, bearb. von R.J. Meyer, unter beratender mitwirkung von Franz Peters.</t>
        </is>
      </c>
      <c r="O224" t="inlineStr">
        <is>
          <t>ger</t>
        </is>
      </c>
      <c r="P224" t="inlineStr">
        <is>
          <t xml:space="preserve">xx </t>
        </is>
      </c>
      <c r="R224" t="inlineStr">
        <is>
          <t xml:space="preserve">QD </t>
        </is>
      </c>
      <c r="S224" t="n">
        <v>1</v>
      </c>
      <c r="T224" t="n">
        <v>324</v>
      </c>
      <c r="U224" t="inlineStr">
        <is>
          <t>1998-07-27</t>
        </is>
      </c>
      <c r="V224" t="inlineStr">
        <is>
          <t>1998-07-28</t>
        </is>
      </c>
      <c r="W224" t="inlineStr">
        <is>
          <t>1997-06-09</t>
        </is>
      </c>
      <c r="X224" t="inlineStr">
        <is>
          <t>1998-06-24</t>
        </is>
      </c>
      <c r="Y224" t="n">
        <v>259</v>
      </c>
      <c r="Z224" t="n">
        <v>221</v>
      </c>
      <c r="AA224" t="n">
        <v>223</v>
      </c>
      <c r="AB224" t="n">
        <v>2</v>
      </c>
      <c r="AC224" t="n">
        <v>2</v>
      </c>
      <c r="AD224" t="n">
        <v>10</v>
      </c>
      <c r="AE224" t="n">
        <v>10</v>
      </c>
      <c r="AF224" t="n">
        <v>2</v>
      </c>
      <c r="AG224" t="n">
        <v>2</v>
      </c>
      <c r="AH224" t="n">
        <v>2</v>
      </c>
      <c r="AI224" t="n">
        <v>2</v>
      </c>
      <c r="AJ224" t="n">
        <v>8</v>
      </c>
      <c r="AK224" t="n">
        <v>8</v>
      </c>
      <c r="AL224" t="n">
        <v>1</v>
      </c>
      <c r="AM224" t="n">
        <v>1</v>
      </c>
      <c r="AN224" t="n">
        <v>0</v>
      </c>
      <c r="AO224" t="n">
        <v>0</v>
      </c>
      <c r="AP224" t="inlineStr">
        <is>
          <t>No</t>
        </is>
      </c>
      <c r="AQ224" t="inlineStr">
        <is>
          <t>Yes</t>
        </is>
      </c>
      <c r="AR224">
        <f>HYPERLINK("http://catalog.hathitrust.org/Record/009932175","HathiTrust Record")</f>
        <v/>
      </c>
      <c r="AS224">
        <f>HYPERLINK("https://creighton-primo.hosted.exlibrisgroup.com/primo-explore/search?tab=default_tab&amp;search_scope=EVERYTHING&amp;vid=01CRU&amp;lang=en_US&amp;offset=0&amp;query=any,contains,991005356889702656","Catalog Record")</f>
        <v/>
      </c>
      <c r="AT224">
        <f>HYPERLINK("http://www.worldcat.org/oclc/802031","WorldCat Record")</f>
        <v/>
      </c>
      <c r="AU224" t="inlineStr">
        <is>
          <t>4924721893:ger</t>
        </is>
      </c>
      <c r="AV224" t="inlineStr">
        <is>
          <t>802031</t>
        </is>
      </c>
      <c r="AW224" t="inlineStr">
        <is>
          <t>991005356889702656</t>
        </is>
      </c>
      <c r="AX224" t="inlineStr">
        <is>
          <t>991005356889702656</t>
        </is>
      </c>
      <c r="AY224" t="inlineStr">
        <is>
          <t>2270552310002656</t>
        </is>
      </c>
      <c r="AZ224" t="inlineStr">
        <is>
          <t>BOOK</t>
        </is>
      </c>
      <c r="BC224" t="inlineStr">
        <is>
          <t>32285002790623</t>
        </is>
      </c>
      <c r="BD224" t="inlineStr">
        <is>
          <t>893527390</t>
        </is>
      </c>
    </row>
    <row r="225">
      <c r="A225" t="inlineStr">
        <is>
          <t>No</t>
        </is>
      </c>
      <c r="B225" t="inlineStr">
        <is>
          <t>QD151 .G52 NO. 39 PT. C6</t>
        </is>
      </c>
      <c r="C225" t="inlineStr">
        <is>
          <t>0                      QD 0151000G  52                                                      NO. 39 PT. C6</t>
        </is>
      </c>
      <c r="D225" t="inlineStr">
        <is>
          <t>Gmelins Handbuch der anorganischen chemie.</t>
        </is>
      </c>
      <c r="E225" t="inlineStr">
        <is>
          <t>NO. 39 PT. C6*</t>
        </is>
      </c>
      <c r="F225" t="inlineStr">
        <is>
          <t>Yes</t>
        </is>
      </c>
      <c r="G225" t="inlineStr">
        <is>
          <t>1</t>
        </is>
      </c>
      <c r="H225" t="inlineStr">
        <is>
          <t>No</t>
        </is>
      </c>
      <c r="I225" t="inlineStr">
        <is>
          <t>No</t>
        </is>
      </c>
      <c r="J225" t="inlineStr">
        <is>
          <t>0</t>
        </is>
      </c>
      <c r="L225" t="inlineStr">
        <is>
          <t>Leipzig-Berlin, Verlag Chemie g.m.b.h., 1924-</t>
        </is>
      </c>
      <c r="M225" t="inlineStr">
        <is>
          <t>1924</t>
        </is>
      </c>
      <c r="N225" t="inlineStr">
        <is>
          <t>8. aufl. Hrsg. von der Deutschen chemischen gesellschaft, bearb. von R.J. Meyer, unter beratender mitwirkung von Franz Peters.</t>
        </is>
      </c>
      <c r="O225" t="inlineStr">
        <is>
          <t>ger</t>
        </is>
      </c>
      <c r="P225" t="inlineStr">
        <is>
          <t xml:space="preserve">xx </t>
        </is>
      </c>
      <c r="R225" t="inlineStr">
        <is>
          <t xml:space="preserve">QD </t>
        </is>
      </c>
      <c r="S225" t="n">
        <v>1</v>
      </c>
      <c r="T225" t="n">
        <v>324</v>
      </c>
      <c r="U225" t="inlineStr">
        <is>
          <t>1998-07-27</t>
        </is>
      </c>
      <c r="V225" t="inlineStr">
        <is>
          <t>1998-07-28</t>
        </is>
      </c>
      <c r="W225" t="inlineStr">
        <is>
          <t>1997-06-05</t>
        </is>
      </c>
      <c r="X225" t="inlineStr">
        <is>
          <t>1998-06-24</t>
        </is>
      </c>
      <c r="Y225" t="n">
        <v>259</v>
      </c>
      <c r="Z225" t="n">
        <v>221</v>
      </c>
      <c r="AA225" t="n">
        <v>223</v>
      </c>
      <c r="AB225" t="n">
        <v>2</v>
      </c>
      <c r="AC225" t="n">
        <v>2</v>
      </c>
      <c r="AD225" t="n">
        <v>10</v>
      </c>
      <c r="AE225" t="n">
        <v>10</v>
      </c>
      <c r="AF225" t="n">
        <v>2</v>
      </c>
      <c r="AG225" t="n">
        <v>2</v>
      </c>
      <c r="AH225" t="n">
        <v>2</v>
      </c>
      <c r="AI225" t="n">
        <v>2</v>
      </c>
      <c r="AJ225" t="n">
        <v>8</v>
      </c>
      <c r="AK225" t="n">
        <v>8</v>
      </c>
      <c r="AL225" t="n">
        <v>1</v>
      </c>
      <c r="AM225" t="n">
        <v>1</v>
      </c>
      <c r="AN225" t="n">
        <v>0</v>
      </c>
      <c r="AO225" t="n">
        <v>0</v>
      </c>
      <c r="AP225" t="inlineStr">
        <is>
          <t>No</t>
        </is>
      </c>
      <c r="AQ225" t="inlineStr">
        <is>
          <t>Yes</t>
        </is>
      </c>
      <c r="AR225">
        <f>HYPERLINK("http://catalog.hathitrust.org/Record/009932175","HathiTrust Record")</f>
        <v/>
      </c>
      <c r="AS225">
        <f>HYPERLINK("https://creighton-primo.hosted.exlibrisgroup.com/primo-explore/search?tab=default_tab&amp;search_scope=EVERYTHING&amp;vid=01CRU&amp;lang=en_US&amp;offset=0&amp;query=any,contains,991005356889702656","Catalog Record")</f>
        <v/>
      </c>
      <c r="AT225">
        <f>HYPERLINK("http://www.worldcat.org/oclc/802031","WorldCat Record")</f>
        <v/>
      </c>
      <c r="AU225" t="inlineStr">
        <is>
          <t>4924721893:ger</t>
        </is>
      </c>
      <c r="AV225" t="inlineStr">
        <is>
          <t>802031</t>
        </is>
      </c>
      <c r="AW225" t="inlineStr">
        <is>
          <t>991005356889702656</t>
        </is>
      </c>
      <c r="AX225" t="inlineStr">
        <is>
          <t>991005356889702656</t>
        </is>
      </c>
      <c r="AY225" t="inlineStr">
        <is>
          <t>2270552310002656</t>
        </is>
      </c>
      <c r="AZ225" t="inlineStr">
        <is>
          <t>BOOK</t>
        </is>
      </c>
      <c r="BC225" t="inlineStr">
        <is>
          <t>32285002790631</t>
        </is>
      </c>
      <c r="BD225" t="inlineStr">
        <is>
          <t>893533633</t>
        </is>
      </c>
    </row>
    <row r="226">
      <c r="A226" t="inlineStr">
        <is>
          <t>No</t>
        </is>
      </c>
      <c r="B226" t="inlineStr">
        <is>
          <t>QD151 .G52 NO. 4 SECT. 1</t>
        </is>
      </c>
      <c r="C226" t="inlineStr">
        <is>
          <t>0                      QD 0151000G  52                                                      NO. 4 SECT. 1</t>
        </is>
      </c>
      <c r="D226" t="inlineStr">
        <is>
          <t>Gmelins Handbuch der anorganischen chemie.</t>
        </is>
      </c>
      <c r="E226" t="inlineStr">
        <is>
          <t>NO. 4 SECT. 1*</t>
        </is>
      </c>
      <c r="F226" t="inlineStr">
        <is>
          <t>Yes</t>
        </is>
      </c>
      <c r="G226" t="inlineStr">
        <is>
          <t>1</t>
        </is>
      </c>
      <c r="H226" t="inlineStr">
        <is>
          <t>No</t>
        </is>
      </c>
      <c r="I226" t="inlineStr">
        <is>
          <t>No</t>
        </is>
      </c>
      <c r="J226" t="inlineStr">
        <is>
          <t>0</t>
        </is>
      </c>
      <c r="L226" t="inlineStr">
        <is>
          <t>Leipzig-Berlin, Verlag Chemie g.m.b.h., 1924-</t>
        </is>
      </c>
      <c r="M226" t="inlineStr">
        <is>
          <t>1924</t>
        </is>
      </c>
      <c r="N226" t="inlineStr">
        <is>
          <t>8. aufl. Hrsg. von der Deutschen chemischen gesellschaft, bearb. von R.J. Meyer, unter beratender mitwirkung von Franz Peters.</t>
        </is>
      </c>
      <c r="O226" t="inlineStr">
        <is>
          <t>ger</t>
        </is>
      </c>
      <c r="P226" t="inlineStr">
        <is>
          <t xml:space="preserve">xx </t>
        </is>
      </c>
      <c r="R226" t="inlineStr">
        <is>
          <t xml:space="preserve">QD </t>
        </is>
      </c>
      <c r="S226" t="n">
        <v>1</v>
      </c>
      <c r="T226" t="n">
        <v>324</v>
      </c>
      <c r="U226" t="inlineStr">
        <is>
          <t>1998-07-27</t>
        </is>
      </c>
      <c r="V226" t="inlineStr">
        <is>
          <t>1998-07-28</t>
        </is>
      </c>
      <c r="W226" t="inlineStr">
        <is>
          <t>1997-06-02</t>
        </is>
      </c>
      <c r="X226" t="inlineStr">
        <is>
          <t>1998-06-24</t>
        </is>
      </c>
      <c r="Y226" t="n">
        <v>259</v>
      </c>
      <c r="Z226" t="n">
        <v>221</v>
      </c>
      <c r="AA226" t="n">
        <v>223</v>
      </c>
      <c r="AB226" t="n">
        <v>2</v>
      </c>
      <c r="AC226" t="n">
        <v>2</v>
      </c>
      <c r="AD226" t="n">
        <v>10</v>
      </c>
      <c r="AE226" t="n">
        <v>10</v>
      </c>
      <c r="AF226" t="n">
        <v>2</v>
      </c>
      <c r="AG226" t="n">
        <v>2</v>
      </c>
      <c r="AH226" t="n">
        <v>2</v>
      </c>
      <c r="AI226" t="n">
        <v>2</v>
      </c>
      <c r="AJ226" t="n">
        <v>8</v>
      </c>
      <c r="AK226" t="n">
        <v>8</v>
      </c>
      <c r="AL226" t="n">
        <v>1</v>
      </c>
      <c r="AM226" t="n">
        <v>1</v>
      </c>
      <c r="AN226" t="n">
        <v>0</v>
      </c>
      <c r="AO226" t="n">
        <v>0</v>
      </c>
      <c r="AP226" t="inlineStr">
        <is>
          <t>No</t>
        </is>
      </c>
      <c r="AQ226" t="inlineStr">
        <is>
          <t>Yes</t>
        </is>
      </c>
      <c r="AR226">
        <f>HYPERLINK("http://catalog.hathitrust.org/Record/009932175","HathiTrust Record")</f>
        <v/>
      </c>
      <c r="AS226">
        <f>HYPERLINK("https://creighton-primo.hosted.exlibrisgroup.com/primo-explore/search?tab=default_tab&amp;search_scope=EVERYTHING&amp;vid=01CRU&amp;lang=en_US&amp;offset=0&amp;query=any,contains,991005356889702656","Catalog Record")</f>
        <v/>
      </c>
      <c r="AT226">
        <f>HYPERLINK("http://www.worldcat.org/oclc/802031","WorldCat Record")</f>
        <v/>
      </c>
      <c r="AU226" t="inlineStr">
        <is>
          <t>4924721893:ger</t>
        </is>
      </c>
      <c r="AV226" t="inlineStr">
        <is>
          <t>802031</t>
        </is>
      </c>
      <c r="AW226" t="inlineStr">
        <is>
          <t>991005356889702656</t>
        </is>
      </c>
      <c r="AX226" t="inlineStr">
        <is>
          <t>991005356889702656</t>
        </is>
      </c>
      <c r="AY226" t="inlineStr">
        <is>
          <t>2270552310002656</t>
        </is>
      </c>
      <c r="AZ226" t="inlineStr">
        <is>
          <t>BOOK</t>
        </is>
      </c>
      <c r="BC226" t="inlineStr">
        <is>
          <t>32285002779212</t>
        </is>
      </c>
      <c r="BD226" t="inlineStr">
        <is>
          <t>893533632</t>
        </is>
      </c>
    </row>
    <row r="227">
      <c r="A227" t="inlineStr">
        <is>
          <t>No</t>
        </is>
      </c>
      <c r="B227" t="inlineStr">
        <is>
          <t>QD151 .G52 NO. 4 SECT. 2</t>
        </is>
      </c>
      <c r="C227" t="inlineStr">
        <is>
          <t>0                      QD 0151000G  52                                                      NO. 4 SECT. 2</t>
        </is>
      </c>
      <c r="D227" t="inlineStr">
        <is>
          <t>Gmelins Handbuch der anorganischen chemie.</t>
        </is>
      </c>
      <c r="E227" t="inlineStr">
        <is>
          <t>NO. 4 SECT. 2*</t>
        </is>
      </c>
      <c r="F227" t="inlineStr">
        <is>
          <t>Yes</t>
        </is>
      </c>
      <c r="G227" t="inlineStr">
        <is>
          <t>1</t>
        </is>
      </c>
      <c r="H227" t="inlineStr">
        <is>
          <t>No</t>
        </is>
      </c>
      <c r="I227" t="inlineStr">
        <is>
          <t>No</t>
        </is>
      </c>
      <c r="J227" t="inlineStr">
        <is>
          <t>0</t>
        </is>
      </c>
      <c r="L227" t="inlineStr">
        <is>
          <t>Leipzig-Berlin, Verlag Chemie g.m.b.h., 1924-</t>
        </is>
      </c>
      <c r="M227" t="inlineStr">
        <is>
          <t>1924</t>
        </is>
      </c>
      <c r="N227" t="inlineStr">
        <is>
          <t>8. aufl. Hrsg. von der Deutschen chemischen gesellschaft, bearb. von R.J. Meyer, unter beratender mitwirkung von Franz Peters.</t>
        </is>
      </c>
      <c r="O227" t="inlineStr">
        <is>
          <t>ger</t>
        </is>
      </c>
      <c r="P227" t="inlineStr">
        <is>
          <t xml:space="preserve">xx </t>
        </is>
      </c>
      <c r="R227" t="inlineStr">
        <is>
          <t xml:space="preserve">QD </t>
        </is>
      </c>
      <c r="S227" t="n">
        <v>1</v>
      </c>
      <c r="T227" t="n">
        <v>324</v>
      </c>
      <c r="U227" t="inlineStr">
        <is>
          <t>1998-07-27</t>
        </is>
      </c>
      <c r="V227" t="inlineStr">
        <is>
          <t>1998-07-28</t>
        </is>
      </c>
      <c r="W227" t="inlineStr">
        <is>
          <t>1997-06-02</t>
        </is>
      </c>
      <c r="X227" t="inlineStr">
        <is>
          <t>1998-06-24</t>
        </is>
      </c>
      <c r="Y227" t="n">
        <v>259</v>
      </c>
      <c r="Z227" t="n">
        <v>221</v>
      </c>
      <c r="AA227" t="n">
        <v>223</v>
      </c>
      <c r="AB227" t="n">
        <v>2</v>
      </c>
      <c r="AC227" t="n">
        <v>2</v>
      </c>
      <c r="AD227" t="n">
        <v>10</v>
      </c>
      <c r="AE227" t="n">
        <v>10</v>
      </c>
      <c r="AF227" t="n">
        <v>2</v>
      </c>
      <c r="AG227" t="n">
        <v>2</v>
      </c>
      <c r="AH227" t="n">
        <v>2</v>
      </c>
      <c r="AI227" t="n">
        <v>2</v>
      </c>
      <c r="AJ227" t="n">
        <v>8</v>
      </c>
      <c r="AK227" t="n">
        <v>8</v>
      </c>
      <c r="AL227" t="n">
        <v>1</v>
      </c>
      <c r="AM227" t="n">
        <v>1</v>
      </c>
      <c r="AN227" t="n">
        <v>0</v>
      </c>
      <c r="AO227" t="n">
        <v>0</v>
      </c>
      <c r="AP227" t="inlineStr">
        <is>
          <t>No</t>
        </is>
      </c>
      <c r="AQ227" t="inlineStr">
        <is>
          <t>Yes</t>
        </is>
      </c>
      <c r="AR227">
        <f>HYPERLINK("http://catalog.hathitrust.org/Record/009932175","HathiTrust Record")</f>
        <v/>
      </c>
      <c r="AS227">
        <f>HYPERLINK("https://creighton-primo.hosted.exlibrisgroup.com/primo-explore/search?tab=default_tab&amp;search_scope=EVERYTHING&amp;vid=01CRU&amp;lang=en_US&amp;offset=0&amp;query=any,contains,991005356889702656","Catalog Record")</f>
        <v/>
      </c>
      <c r="AT227">
        <f>HYPERLINK("http://www.worldcat.org/oclc/802031","WorldCat Record")</f>
        <v/>
      </c>
      <c r="AU227" t="inlineStr">
        <is>
          <t>4924721893:ger</t>
        </is>
      </c>
      <c r="AV227" t="inlineStr">
        <is>
          <t>802031</t>
        </is>
      </c>
      <c r="AW227" t="inlineStr">
        <is>
          <t>991005356889702656</t>
        </is>
      </c>
      <c r="AX227" t="inlineStr">
        <is>
          <t>991005356889702656</t>
        </is>
      </c>
      <c r="AY227" t="inlineStr">
        <is>
          <t>2270552310002656</t>
        </is>
      </c>
      <c r="AZ227" t="inlineStr">
        <is>
          <t>BOOK</t>
        </is>
      </c>
      <c r="BC227" t="inlineStr">
        <is>
          <t>32285002779220</t>
        </is>
      </c>
      <c r="BD227" t="inlineStr">
        <is>
          <t>893533631</t>
        </is>
      </c>
    </row>
    <row r="228">
      <c r="A228" t="inlineStr">
        <is>
          <t>No</t>
        </is>
      </c>
      <c r="B228" t="inlineStr">
        <is>
          <t>QD151 .G52 NO. 4 SECT. 3</t>
        </is>
      </c>
      <c r="C228" t="inlineStr">
        <is>
          <t>0                      QD 0151000G  52                                                      NO. 4 SECT. 3</t>
        </is>
      </c>
      <c r="D228" t="inlineStr">
        <is>
          <t>Gmelins Handbuch der anorganischen chemie.</t>
        </is>
      </c>
      <c r="E228" t="inlineStr">
        <is>
          <t>NO. 4 SECT. 3*</t>
        </is>
      </c>
      <c r="F228" t="inlineStr">
        <is>
          <t>Yes</t>
        </is>
      </c>
      <c r="G228" t="inlineStr">
        <is>
          <t>1</t>
        </is>
      </c>
      <c r="H228" t="inlineStr">
        <is>
          <t>No</t>
        </is>
      </c>
      <c r="I228" t="inlineStr">
        <is>
          <t>No</t>
        </is>
      </c>
      <c r="J228" t="inlineStr">
        <is>
          <t>0</t>
        </is>
      </c>
      <c r="L228" t="inlineStr">
        <is>
          <t>Leipzig-Berlin, Verlag Chemie g.m.b.h., 1924-</t>
        </is>
      </c>
      <c r="M228" t="inlineStr">
        <is>
          <t>1924</t>
        </is>
      </c>
      <c r="N228" t="inlineStr">
        <is>
          <t>8. aufl. Hrsg. von der Deutschen chemischen gesellschaft, bearb. von R.J. Meyer, unter beratender mitwirkung von Franz Peters.</t>
        </is>
      </c>
      <c r="O228" t="inlineStr">
        <is>
          <t>ger</t>
        </is>
      </c>
      <c r="P228" t="inlineStr">
        <is>
          <t xml:space="preserve">xx </t>
        </is>
      </c>
      <c r="R228" t="inlineStr">
        <is>
          <t xml:space="preserve">QD </t>
        </is>
      </c>
      <c r="S228" t="n">
        <v>1</v>
      </c>
      <c r="T228" t="n">
        <v>324</v>
      </c>
      <c r="U228" t="inlineStr">
        <is>
          <t>1998-07-27</t>
        </is>
      </c>
      <c r="V228" t="inlineStr">
        <is>
          <t>1998-07-28</t>
        </is>
      </c>
      <c r="W228" t="inlineStr">
        <is>
          <t>1997-06-02</t>
        </is>
      </c>
      <c r="X228" t="inlineStr">
        <is>
          <t>1998-06-24</t>
        </is>
      </c>
      <c r="Y228" t="n">
        <v>259</v>
      </c>
      <c r="Z228" t="n">
        <v>221</v>
      </c>
      <c r="AA228" t="n">
        <v>223</v>
      </c>
      <c r="AB228" t="n">
        <v>2</v>
      </c>
      <c r="AC228" t="n">
        <v>2</v>
      </c>
      <c r="AD228" t="n">
        <v>10</v>
      </c>
      <c r="AE228" t="n">
        <v>10</v>
      </c>
      <c r="AF228" t="n">
        <v>2</v>
      </c>
      <c r="AG228" t="n">
        <v>2</v>
      </c>
      <c r="AH228" t="n">
        <v>2</v>
      </c>
      <c r="AI228" t="n">
        <v>2</v>
      </c>
      <c r="AJ228" t="n">
        <v>8</v>
      </c>
      <c r="AK228" t="n">
        <v>8</v>
      </c>
      <c r="AL228" t="n">
        <v>1</v>
      </c>
      <c r="AM228" t="n">
        <v>1</v>
      </c>
      <c r="AN228" t="n">
        <v>0</v>
      </c>
      <c r="AO228" t="n">
        <v>0</v>
      </c>
      <c r="AP228" t="inlineStr">
        <is>
          <t>No</t>
        </is>
      </c>
      <c r="AQ228" t="inlineStr">
        <is>
          <t>Yes</t>
        </is>
      </c>
      <c r="AR228">
        <f>HYPERLINK("http://catalog.hathitrust.org/Record/009932175","HathiTrust Record")</f>
        <v/>
      </c>
      <c r="AS228">
        <f>HYPERLINK("https://creighton-primo.hosted.exlibrisgroup.com/primo-explore/search?tab=default_tab&amp;search_scope=EVERYTHING&amp;vid=01CRU&amp;lang=en_US&amp;offset=0&amp;query=any,contains,991005356889702656","Catalog Record")</f>
        <v/>
      </c>
      <c r="AT228">
        <f>HYPERLINK("http://www.worldcat.org/oclc/802031","WorldCat Record")</f>
        <v/>
      </c>
      <c r="AU228" t="inlineStr">
        <is>
          <t>4924721893:ger</t>
        </is>
      </c>
      <c r="AV228" t="inlineStr">
        <is>
          <t>802031</t>
        </is>
      </c>
      <c r="AW228" t="inlineStr">
        <is>
          <t>991005356889702656</t>
        </is>
      </c>
      <c r="AX228" t="inlineStr">
        <is>
          <t>991005356889702656</t>
        </is>
      </c>
      <c r="AY228" t="inlineStr">
        <is>
          <t>2270552310002656</t>
        </is>
      </c>
      <c r="AZ228" t="inlineStr">
        <is>
          <t>BOOK</t>
        </is>
      </c>
      <c r="BC228" t="inlineStr">
        <is>
          <t>32285002779238</t>
        </is>
      </c>
      <c r="BD228" t="inlineStr">
        <is>
          <t>893508049</t>
        </is>
      </c>
    </row>
    <row r="229">
      <c r="A229" t="inlineStr">
        <is>
          <t>No</t>
        </is>
      </c>
      <c r="B229" t="inlineStr">
        <is>
          <t>QD151 .G52 NO. 4 SECT. 4</t>
        </is>
      </c>
      <c r="C229" t="inlineStr">
        <is>
          <t>0                      QD 0151000G  52                                                      NO. 4 SECT. 4</t>
        </is>
      </c>
      <c r="D229" t="inlineStr">
        <is>
          <t>Gmelins Handbuch der anorganischen chemie.</t>
        </is>
      </c>
      <c r="E229" t="inlineStr">
        <is>
          <t>NO. 4 SECT. 4*</t>
        </is>
      </c>
      <c r="F229" t="inlineStr">
        <is>
          <t>Yes</t>
        </is>
      </c>
      <c r="G229" t="inlineStr">
        <is>
          <t>1</t>
        </is>
      </c>
      <c r="H229" t="inlineStr">
        <is>
          <t>No</t>
        </is>
      </c>
      <c r="I229" t="inlineStr">
        <is>
          <t>No</t>
        </is>
      </c>
      <c r="J229" t="inlineStr">
        <is>
          <t>0</t>
        </is>
      </c>
      <c r="L229" t="inlineStr">
        <is>
          <t>Leipzig-Berlin, Verlag Chemie g.m.b.h., 1924-</t>
        </is>
      </c>
      <c r="M229" t="inlineStr">
        <is>
          <t>1924</t>
        </is>
      </c>
      <c r="N229" t="inlineStr">
        <is>
          <t>8. aufl. Hrsg. von der Deutschen chemischen gesellschaft, bearb. von R.J. Meyer, unter beratender mitwirkung von Franz Peters.</t>
        </is>
      </c>
      <c r="O229" t="inlineStr">
        <is>
          <t>ger</t>
        </is>
      </c>
      <c r="P229" t="inlineStr">
        <is>
          <t xml:space="preserve">xx </t>
        </is>
      </c>
      <c r="R229" t="inlineStr">
        <is>
          <t xml:space="preserve">QD </t>
        </is>
      </c>
      <c r="S229" t="n">
        <v>1</v>
      </c>
      <c r="T229" t="n">
        <v>324</v>
      </c>
      <c r="U229" t="inlineStr">
        <is>
          <t>1998-07-27</t>
        </is>
      </c>
      <c r="V229" t="inlineStr">
        <is>
          <t>1998-07-28</t>
        </is>
      </c>
      <c r="W229" t="inlineStr">
        <is>
          <t>1997-06-02</t>
        </is>
      </c>
      <c r="X229" t="inlineStr">
        <is>
          <t>1998-06-24</t>
        </is>
      </c>
      <c r="Y229" t="n">
        <v>259</v>
      </c>
      <c r="Z229" t="n">
        <v>221</v>
      </c>
      <c r="AA229" t="n">
        <v>223</v>
      </c>
      <c r="AB229" t="n">
        <v>2</v>
      </c>
      <c r="AC229" t="n">
        <v>2</v>
      </c>
      <c r="AD229" t="n">
        <v>10</v>
      </c>
      <c r="AE229" t="n">
        <v>10</v>
      </c>
      <c r="AF229" t="n">
        <v>2</v>
      </c>
      <c r="AG229" t="n">
        <v>2</v>
      </c>
      <c r="AH229" t="n">
        <v>2</v>
      </c>
      <c r="AI229" t="n">
        <v>2</v>
      </c>
      <c r="AJ229" t="n">
        <v>8</v>
      </c>
      <c r="AK229" t="n">
        <v>8</v>
      </c>
      <c r="AL229" t="n">
        <v>1</v>
      </c>
      <c r="AM229" t="n">
        <v>1</v>
      </c>
      <c r="AN229" t="n">
        <v>0</v>
      </c>
      <c r="AO229" t="n">
        <v>0</v>
      </c>
      <c r="AP229" t="inlineStr">
        <is>
          <t>No</t>
        </is>
      </c>
      <c r="AQ229" t="inlineStr">
        <is>
          <t>Yes</t>
        </is>
      </c>
      <c r="AR229">
        <f>HYPERLINK("http://catalog.hathitrust.org/Record/009932175","HathiTrust Record")</f>
        <v/>
      </c>
      <c r="AS229">
        <f>HYPERLINK("https://creighton-primo.hosted.exlibrisgroup.com/primo-explore/search?tab=default_tab&amp;search_scope=EVERYTHING&amp;vid=01CRU&amp;lang=en_US&amp;offset=0&amp;query=any,contains,991005356889702656","Catalog Record")</f>
        <v/>
      </c>
      <c r="AT229">
        <f>HYPERLINK("http://www.worldcat.org/oclc/802031","WorldCat Record")</f>
        <v/>
      </c>
      <c r="AU229" t="inlineStr">
        <is>
          <t>4924721893:ger</t>
        </is>
      </c>
      <c r="AV229" t="inlineStr">
        <is>
          <t>802031</t>
        </is>
      </c>
      <c r="AW229" t="inlineStr">
        <is>
          <t>991005356889702656</t>
        </is>
      </c>
      <c r="AX229" t="inlineStr">
        <is>
          <t>991005356889702656</t>
        </is>
      </c>
      <c r="AY229" t="inlineStr">
        <is>
          <t>2270552310002656</t>
        </is>
      </c>
      <c r="AZ229" t="inlineStr">
        <is>
          <t>BOOK</t>
        </is>
      </c>
      <c r="BC229" t="inlineStr">
        <is>
          <t>32285002779246</t>
        </is>
      </c>
      <c r="BD229" t="inlineStr">
        <is>
          <t>893527407</t>
        </is>
      </c>
    </row>
    <row r="230">
      <c r="A230" t="inlineStr">
        <is>
          <t>No</t>
        </is>
      </c>
      <c r="B230" t="inlineStr">
        <is>
          <t>QD151 .G52 NO. 40</t>
        </is>
      </c>
      <c r="C230" t="inlineStr">
        <is>
          <t>0                      QD 0151000G  52                                                      NO. 40</t>
        </is>
      </c>
      <c r="D230" t="inlineStr">
        <is>
          <t>Gmelins Handbuch der anorganischen chemie.</t>
        </is>
      </c>
      <c r="E230" t="inlineStr">
        <is>
          <t>NO. 40*</t>
        </is>
      </c>
      <c r="F230" t="inlineStr">
        <is>
          <t>Yes</t>
        </is>
      </c>
      <c r="G230" t="inlineStr">
        <is>
          <t>1</t>
        </is>
      </c>
      <c r="H230" t="inlineStr">
        <is>
          <t>No</t>
        </is>
      </c>
      <c r="I230" t="inlineStr">
        <is>
          <t>No</t>
        </is>
      </c>
      <c r="J230" t="inlineStr">
        <is>
          <t>0</t>
        </is>
      </c>
      <c r="L230" t="inlineStr">
        <is>
          <t>Leipzig-Berlin, Verlag Chemie g.m.b.h., 1924-</t>
        </is>
      </c>
      <c r="M230" t="inlineStr">
        <is>
          <t>1924</t>
        </is>
      </c>
      <c r="N230" t="inlineStr">
        <is>
          <t>8. aufl. Hrsg. von der Deutschen chemischen gesellschaft, bearb. von R.J. Meyer, unter beratender mitwirkung von Franz Peters.</t>
        </is>
      </c>
      <c r="O230" t="inlineStr">
        <is>
          <t>ger</t>
        </is>
      </c>
      <c r="P230" t="inlineStr">
        <is>
          <t xml:space="preserve">xx </t>
        </is>
      </c>
      <c r="R230" t="inlineStr">
        <is>
          <t xml:space="preserve">QD </t>
        </is>
      </c>
      <c r="S230" t="n">
        <v>1</v>
      </c>
      <c r="T230" t="n">
        <v>324</v>
      </c>
      <c r="U230" t="inlineStr">
        <is>
          <t>1998-07-27</t>
        </is>
      </c>
      <c r="V230" t="inlineStr">
        <is>
          <t>1998-07-28</t>
        </is>
      </c>
      <c r="W230" t="inlineStr">
        <is>
          <t>1997-06-05</t>
        </is>
      </c>
      <c r="X230" t="inlineStr">
        <is>
          <t>1998-06-24</t>
        </is>
      </c>
      <c r="Y230" t="n">
        <v>259</v>
      </c>
      <c r="Z230" t="n">
        <v>221</v>
      </c>
      <c r="AA230" t="n">
        <v>223</v>
      </c>
      <c r="AB230" t="n">
        <v>2</v>
      </c>
      <c r="AC230" t="n">
        <v>2</v>
      </c>
      <c r="AD230" t="n">
        <v>10</v>
      </c>
      <c r="AE230" t="n">
        <v>10</v>
      </c>
      <c r="AF230" t="n">
        <v>2</v>
      </c>
      <c r="AG230" t="n">
        <v>2</v>
      </c>
      <c r="AH230" t="n">
        <v>2</v>
      </c>
      <c r="AI230" t="n">
        <v>2</v>
      </c>
      <c r="AJ230" t="n">
        <v>8</v>
      </c>
      <c r="AK230" t="n">
        <v>8</v>
      </c>
      <c r="AL230" t="n">
        <v>1</v>
      </c>
      <c r="AM230" t="n">
        <v>1</v>
      </c>
      <c r="AN230" t="n">
        <v>0</v>
      </c>
      <c r="AO230" t="n">
        <v>0</v>
      </c>
      <c r="AP230" t="inlineStr">
        <is>
          <t>No</t>
        </is>
      </c>
      <c r="AQ230" t="inlineStr">
        <is>
          <t>Yes</t>
        </is>
      </c>
      <c r="AR230">
        <f>HYPERLINK("http://catalog.hathitrust.org/Record/009932175","HathiTrust Record")</f>
        <v/>
      </c>
      <c r="AS230">
        <f>HYPERLINK("https://creighton-primo.hosted.exlibrisgroup.com/primo-explore/search?tab=default_tab&amp;search_scope=EVERYTHING&amp;vid=01CRU&amp;lang=en_US&amp;offset=0&amp;query=any,contains,991005356889702656","Catalog Record")</f>
        <v/>
      </c>
      <c r="AT230">
        <f>HYPERLINK("http://www.worldcat.org/oclc/802031","WorldCat Record")</f>
        <v/>
      </c>
      <c r="AU230" t="inlineStr">
        <is>
          <t>4924721893:ger</t>
        </is>
      </c>
      <c r="AV230" t="inlineStr">
        <is>
          <t>802031</t>
        </is>
      </c>
      <c r="AW230" t="inlineStr">
        <is>
          <t>991005356889702656</t>
        </is>
      </c>
      <c r="AX230" t="inlineStr">
        <is>
          <t>991005356889702656</t>
        </is>
      </c>
      <c r="AY230" t="inlineStr">
        <is>
          <t>2270552310002656</t>
        </is>
      </c>
      <c r="AZ230" t="inlineStr">
        <is>
          <t>BOOK</t>
        </is>
      </c>
      <c r="BC230" t="inlineStr">
        <is>
          <t>32285002790649</t>
        </is>
      </c>
      <c r="BD230" t="inlineStr">
        <is>
          <t>893501768</t>
        </is>
      </c>
    </row>
    <row r="231">
      <c r="A231" t="inlineStr">
        <is>
          <t>No</t>
        </is>
      </c>
      <c r="B231" t="inlineStr">
        <is>
          <t>QD151 .G52 NO. 41</t>
        </is>
      </c>
      <c r="C231" t="inlineStr">
        <is>
          <t>0                      QD 0151000G  52                                                      NO. 41</t>
        </is>
      </c>
      <c r="D231" t="inlineStr">
        <is>
          <t>Gmelins Handbuch der anorganischen chemie.</t>
        </is>
      </c>
      <c r="E231" t="inlineStr">
        <is>
          <t>NO. 41*</t>
        </is>
      </c>
      <c r="F231" t="inlineStr">
        <is>
          <t>Yes</t>
        </is>
      </c>
      <c r="G231" t="inlineStr">
        <is>
          <t>1</t>
        </is>
      </c>
      <c r="H231" t="inlineStr">
        <is>
          <t>No</t>
        </is>
      </c>
      <c r="I231" t="inlineStr">
        <is>
          <t>No</t>
        </is>
      </c>
      <c r="J231" t="inlineStr">
        <is>
          <t>0</t>
        </is>
      </c>
      <c r="L231" t="inlineStr">
        <is>
          <t>Leipzig-Berlin, Verlag Chemie g.m.b.h., 1924-</t>
        </is>
      </c>
      <c r="M231" t="inlineStr">
        <is>
          <t>1924</t>
        </is>
      </c>
      <c r="N231" t="inlineStr">
        <is>
          <t>8. aufl. Hrsg. von der Deutschen chemischen gesellschaft, bearb. von R.J. Meyer, unter beratender mitwirkung von Franz Peters.</t>
        </is>
      </c>
      <c r="O231" t="inlineStr">
        <is>
          <t>ger</t>
        </is>
      </c>
      <c r="P231" t="inlineStr">
        <is>
          <t xml:space="preserve">xx </t>
        </is>
      </c>
      <c r="R231" t="inlineStr">
        <is>
          <t xml:space="preserve">QD </t>
        </is>
      </c>
      <c r="S231" t="n">
        <v>1</v>
      </c>
      <c r="T231" t="n">
        <v>324</v>
      </c>
      <c r="U231" t="inlineStr">
        <is>
          <t>1998-07-27</t>
        </is>
      </c>
      <c r="V231" t="inlineStr">
        <is>
          <t>1998-07-28</t>
        </is>
      </c>
      <c r="W231" t="inlineStr">
        <is>
          <t>1997-06-05</t>
        </is>
      </c>
      <c r="X231" t="inlineStr">
        <is>
          <t>1998-06-24</t>
        </is>
      </c>
      <c r="Y231" t="n">
        <v>259</v>
      </c>
      <c r="Z231" t="n">
        <v>221</v>
      </c>
      <c r="AA231" t="n">
        <v>223</v>
      </c>
      <c r="AB231" t="n">
        <v>2</v>
      </c>
      <c r="AC231" t="n">
        <v>2</v>
      </c>
      <c r="AD231" t="n">
        <v>10</v>
      </c>
      <c r="AE231" t="n">
        <v>10</v>
      </c>
      <c r="AF231" t="n">
        <v>2</v>
      </c>
      <c r="AG231" t="n">
        <v>2</v>
      </c>
      <c r="AH231" t="n">
        <v>2</v>
      </c>
      <c r="AI231" t="n">
        <v>2</v>
      </c>
      <c r="AJ231" t="n">
        <v>8</v>
      </c>
      <c r="AK231" t="n">
        <v>8</v>
      </c>
      <c r="AL231" t="n">
        <v>1</v>
      </c>
      <c r="AM231" t="n">
        <v>1</v>
      </c>
      <c r="AN231" t="n">
        <v>0</v>
      </c>
      <c r="AO231" t="n">
        <v>0</v>
      </c>
      <c r="AP231" t="inlineStr">
        <is>
          <t>No</t>
        </is>
      </c>
      <c r="AQ231" t="inlineStr">
        <is>
          <t>Yes</t>
        </is>
      </c>
      <c r="AR231">
        <f>HYPERLINK("http://catalog.hathitrust.org/Record/009932175","HathiTrust Record")</f>
        <v/>
      </c>
      <c r="AS231">
        <f>HYPERLINK("https://creighton-primo.hosted.exlibrisgroup.com/primo-explore/search?tab=default_tab&amp;search_scope=EVERYTHING&amp;vid=01CRU&amp;lang=en_US&amp;offset=0&amp;query=any,contains,991005356889702656","Catalog Record")</f>
        <v/>
      </c>
      <c r="AT231">
        <f>HYPERLINK("http://www.worldcat.org/oclc/802031","WorldCat Record")</f>
        <v/>
      </c>
      <c r="AU231" t="inlineStr">
        <is>
          <t>4924721893:ger</t>
        </is>
      </c>
      <c r="AV231" t="inlineStr">
        <is>
          <t>802031</t>
        </is>
      </c>
      <c r="AW231" t="inlineStr">
        <is>
          <t>991005356889702656</t>
        </is>
      </c>
      <c r="AX231" t="inlineStr">
        <is>
          <t>991005356889702656</t>
        </is>
      </c>
      <c r="AY231" t="inlineStr">
        <is>
          <t>2270552310002656</t>
        </is>
      </c>
      <c r="AZ231" t="inlineStr">
        <is>
          <t>BOOK</t>
        </is>
      </c>
      <c r="BC231" t="inlineStr">
        <is>
          <t>32285002790656</t>
        </is>
      </c>
      <c r="BD231" t="inlineStr">
        <is>
          <t>893533630</t>
        </is>
      </c>
    </row>
    <row r="232">
      <c r="A232" t="inlineStr">
        <is>
          <t>No</t>
        </is>
      </c>
      <c r="B232" t="inlineStr">
        <is>
          <t>QD151 .G52 NO. 42</t>
        </is>
      </c>
      <c r="C232" t="inlineStr">
        <is>
          <t>0                      QD 0151000G  52                                                      NO. 42</t>
        </is>
      </c>
      <c r="D232" t="inlineStr">
        <is>
          <t>Gmelins Handbuch der anorganischen chemie.</t>
        </is>
      </c>
      <c r="E232" t="inlineStr">
        <is>
          <t>NO. 42*</t>
        </is>
      </c>
      <c r="F232" t="inlineStr">
        <is>
          <t>Yes</t>
        </is>
      </c>
      <c r="G232" t="inlineStr">
        <is>
          <t>1</t>
        </is>
      </c>
      <c r="H232" t="inlineStr">
        <is>
          <t>No</t>
        </is>
      </c>
      <c r="I232" t="inlineStr">
        <is>
          <t>No</t>
        </is>
      </c>
      <c r="J232" t="inlineStr">
        <is>
          <t>0</t>
        </is>
      </c>
      <c r="L232" t="inlineStr">
        <is>
          <t>Leipzig-Berlin, Verlag Chemie g.m.b.h., 1924-</t>
        </is>
      </c>
      <c r="M232" t="inlineStr">
        <is>
          <t>1924</t>
        </is>
      </c>
      <c r="N232" t="inlineStr">
        <is>
          <t>8. aufl. Hrsg. von der Deutschen chemischen gesellschaft, bearb. von R.J. Meyer, unter beratender mitwirkung von Franz Peters.</t>
        </is>
      </c>
      <c r="O232" t="inlineStr">
        <is>
          <t>ger</t>
        </is>
      </c>
      <c r="P232" t="inlineStr">
        <is>
          <t xml:space="preserve">xx </t>
        </is>
      </c>
      <c r="R232" t="inlineStr">
        <is>
          <t xml:space="preserve">QD </t>
        </is>
      </c>
      <c r="S232" t="n">
        <v>1</v>
      </c>
      <c r="T232" t="n">
        <v>324</v>
      </c>
      <c r="U232" t="inlineStr">
        <is>
          <t>1998-07-27</t>
        </is>
      </c>
      <c r="V232" t="inlineStr">
        <is>
          <t>1998-07-28</t>
        </is>
      </c>
      <c r="W232" t="inlineStr">
        <is>
          <t>1997-06-05</t>
        </is>
      </c>
      <c r="X232" t="inlineStr">
        <is>
          <t>1998-06-24</t>
        </is>
      </c>
      <c r="Y232" t="n">
        <v>259</v>
      </c>
      <c r="Z232" t="n">
        <v>221</v>
      </c>
      <c r="AA232" t="n">
        <v>223</v>
      </c>
      <c r="AB232" t="n">
        <v>2</v>
      </c>
      <c r="AC232" t="n">
        <v>2</v>
      </c>
      <c r="AD232" t="n">
        <v>10</v>
      </c>
      <c r="AE232" t="n">
        <v>10</v>
      </c>
      <c r="AF232" t="n">
        <v>2</v>
      </c>
      <c r="AG232" t="n">
        <v>2</v>
      </c>
      <c r="AH232" t="n">
        <v>2</v>
      </c>
      <c r="AI232" t="n">
        <v>2</v>
      </c>
      <c r="AJ232" t="n">
        <v>8</v>
      </c>
      <c r="AK232" t="n">
        <v>8</v>
      </c>
      <c r="AL232" t="n">
        <v>1</v>
      </c>
      <c r="AM232" t="n">
        <v>1</v>
      </c>
      <c r="AN232" t="n">
        <v>0</v>
      </c>
      <c r="AO232" t="n">
        <v>0</v>
      </c>
      <c r="AP232" t="inlineStr">
        <is>
          <t>No</t>
        </is>
      </c>
      <c r="AQ232" t="inlineStr">
        <is>
          <t>Yes</t>
        </is>
      </c>
      <c r="AR232">
        <f>HYPERLINK("http://catalog.hathitrust.org/Record/009932175","HathiTrust Record")</f>
        <v/>
      </c>
      <c r="AS232">
        <f>HYPERLINK("https://creighton-primo.hosted.exlibrisgroup.com/primo-explore/search?tab=default_tab&amp;search_scope=EVERYTHING&amp;vid=01CRU&amp;lang=en_US&amp;offset=0&amp;query=any,contains,991005356889702656","Catalog Record")</f>
        <v/>
      </c>
      <c r="AT232">
        <f>HYPERLINK("http://www.worldcat.org/oclc/802031","WorldCat Record")</f>
        <v/>
      </c>
      <c r="AU232" t="inlineStr">
        <is>
          <t>4924721893:ger</t>
        </is>
      </c>
      <c r="AV232" t="inlineStr">
        <is>
          <t>802031</t>
        </is>
      </c>
      <c r="AW232" t="inlineStr">
        <is>
          <t>991005356889702656</t>
        </is>
      </c>
      <c r="AX232" t="inlineStr">
        <is>
          <t>991005356889702656</t>
        </is>
      </c>
      <c r="AY232" t="inlineStr">
        <is>
          <t>2270552310002656</t>
        </is>
      </c>
      <c r="AZ232" t="inlineStr">
        <is>
          <t>BOOK</t>
        </is>
      </c>
      <c r="BC232" t="inlineStr">
        <is>
          <t>32285002790664</t>
        </is>
      </c>
      <c r="BD232" t="inlineStr">
        <is>
          <t>893533629</t>
        </is>
      </c>
    </row>
    <row r="233">
      <c r="A233" t="inlineStr">
        <is>
          <t>No</t>
        </is>
      </c>
      <c r="B233" t="inlineStr">
        <is>
          <t>QD151 .G52 NO. 43</t>
        </is>
      </c>
      <c r="C233" t="inlineStr">
        <is>
          <t>0                      QD 0151000G  52                                                      NO. 43</t>
        </is>
      </c>
      <c r="D233" t="inlineStr">
        <is>
          <t>Gmelins Handbuch der anorganischen chemie.</t>
        </is>
      </c>
      <c r="E233" t="inlineStr">
        <is>
          <t>NO. 43*</t>
        </is>
      </c>
      <c r="F233" t="inlineStr">
        <is>
          <t>Yes</t>
        </is>
      </c>
      <c r="G233" t="inlineStr">
        <is>
          <t>1</t>
        </is>
      </c>
      <c r="H233" t="inlineStr">
        <is>
          <t>No</t>
        </is>
      </c>
      <c r="I233" t="inlineStr">
        <is>
          <t>No</t>
        </is>
      </c>
      <c r="J233" t="inlineStr">
        <is>
          <t>0</t>
        </is>
      </c>
      <c r="L233" t="inlineStr">
        <is>
          <t>Leipzig-Berlin, Verlag Chemie g.m.b.h., 1924-</t>
        </is>
      </c>
      <c r="M233" t="inlineStr">
        <is>
          <t>1924</t>
        </is>
      </c>
      <c r="N233" t="inlineStr">
        <is>
          <t>8. aufl. Hrsg. von der Deutschen chemischen gesellschaft, bearb. von R.J. Meyer, unter beratender mitwirkung von Franz Peters.</t>
        </is>
      </c>
      <c r="O233" t="inlineStr">
        <is>
          <t>ger</t>
        </is>
      </c>
      <c r="P233" t="inlineStr">
        <is>
          <t xml:space="preserve">xx </t>
        </is>
      </c>
      <c r="R233" t="inlineStr">
        <is>
          <t xml:space="preserve">QD </t>
        </is>
      </c>
      <c r="S233" t="n">
        <v>1</v>
      </c>
      <c r="T233" t="n">
        <v>324</v>
      </c>
      <c r="U233" t="inlineStr">
        <is>
          <t>1998-07-27</t>
        </is>
      </c>
      <c r="V233" t="inlineStr">
        <is>
          <t>1998-07-28</t>
        </is>
      </c>
      <c r="W233" t="inlineStr">
        <is>
          <t>1997-06-05</t>
        </is>
      </c>
      <c r="X233" t="inlineStr">
        <is>
          <t>1998-06-24</t>
        </is>
      </c>
      <c r="Y233" t="n">
        <v>259</v>
      </c>
      <c r="Z233" t="n">
        <v>221</v>
      </c>
      <c r="AA233" t="n">
        <v>223</v>
      </c>
      <c r="AB233" t="n">
        <v>2</v>
      </c>
      <c r="AC233" t="n">
        <v>2</v>
      </c>
      <c r="AD233" t="n">
        <v>10</v>
      </c>
      <c r="AE233" t="n">
        <v>10</v>
      </c>
      <c r="AF233" t="n">
        <v>2</v>
      </c>
      <c r="AG233" t="n">
        <v>2</v>
      </c>
      <c r="AH233" t="n">
        <v>2</v>
      </c>
      <c r="AI233" t="n">
        <v>2</v>
      </c>
      <c r="AJ233" t="n">
        <v>8</v>
      </c>
      <c r="AK233" t="n">
        <v>8</v>
      </c>
      <c r="AL233" t="n">
        <v>1</v>
      </c>
      <c r="AM233" t="n">
        <v>1</v>
      </c>
      <c r="AN233" t="n">
        <v>0</v>
      </c>
      <c r="AO233" t="n">
        <v>0</v>
      </c>
      <c r="AP233" t="inlineStr">
        <is>
          <t>No</t>
        </is>
      </c>
      <c r="AQ233" t="inlineStr">
        <is>
          <t>Yes</t>
        </is>
      </c>
      <c r="AR233">
        <f>HYPERLINK("http://catalog.hathitrust.org/Record/009932175","HathiTrust Record")</f>
        <v/>
      </c>
      <c r="AS233">
        <f>HYPERLINK("https://creighton-primo.hosted.exlibrisgroup.com/primo-explore/search?tab=default_tab&amp;search_scope=EVERYTHING&amp;vid=01CRU&amp;lang=en_US&amp;offset=0&amp;query=any,contains,991005356889702656","Catalog Record")</f>
        <v/>
      </c>
      <c r="AT233">
        <f>HYPERLINK("http://www.worldcat.org/oclc/802031","WorldCat Record")</f>
        <v/>
      </c>
      <c r="AU233" t="inlineStr">
        <is>
          <t>4924721893:ger</t>
        </is>
      </c>
      <c r="AV233" t="inlineStr">
        <is>
          <t>802031</t>
        </is>
      </c>
      <c r="AW233" t="inlineStr">
        <is>
          <t>991005356889702656</t>
        </is>
      </c>
      <c r="AX233" t="inlineStr">
        <is>
          <t>991005356889702656</t>
        </is>
      </c>
      <c r="AY233" t="inlineStr">
        <is>
          <t>2270552310002656</t>
        </is>
      </c>
      <c r="AZ233" t="inlineStr">
        <is>
          <t>BOOK</t>
        </is>
      </c>
      <c r="BC233" t="inlineStr">
        <is>
          <t>32285002790672</t>
        </is>
      </c>
      <c r="BD233" t="inlineStr">
        <is>
          <t>893501767</t>
        </is>
      </c>
    </row>
    <row r="234">
      <c r="A234" t="inlineStr">
        <is>
          <t>No</t>
        </is>
      </c>
      <c r="B234" t="inlineStr">
        <is>
          <t>QD151 .G52 NO. 43 SUPP.</t>
        </is>
      </c>
      <c r="C234" t="inlineStr">
        <is>
          <t>0                      QD 0151000G  52                                                      NO. 43 SUPP.</t>
        </is>
      </c>
      <c r="D234" t="inlineStr">
        <is>
          <t>Gmelins Handbuch der anorganischen chemie.</t>
        </is>
      </c>
      <c r="E234" t="inlineStr">
        <is>
          <t>NO. 43 SUPP.*</t>
        </is>
      </c>
      <c r="F234" t="inlineStr">
        <is>
          <t>Yes</t>
        </is>
      </c>
      <c r="G234" t="inlineStr">
        <is>
          <t>1</t>
        </is>
      </c>
      <c r="H234" t="inlineStr">
        <is>
          <t>No</t>
        </is>
      </c>
      <c r="I234" t="inlineStr">
        <is>
          <t>No</t>
        </is>
      </c>
      <c r="J234" t="inlineStr">
        <is>
          <t>0</t>
        </is>
      </c>
      <c r="L234" t="inlineStr">
        <is>
          <t>Leipzig-Berlin, Verlag Chemie g.m.b.h., 1924-</t>
        </is>
      </c>
      <c r="M234" t="inlineStr">
        <is>
          <t>1924</t>
        </is>
      </c>
      <c r="N234" t="inlineStr">
        <is>
          <t>8. aufl. Hrsg. von der Deutschen chemischen gesellschaft, bearb. von R.J. Meyer, unter beratender mitwirkung von Franz Peters.</t>
        </is>
      </c>
      <c r="O234" t="inlineStr">
        <is>
          <t>ger</t>
        </is>
      </c>
      <c r="P234" t="inlineStr">
        <is>
          <t xml:space="preserve">xx </t>
        </is>
      </c>
      <c r="R234" t="inlineStr">
        <is>
          <t xml:space="preserve">QD </t>
        </is>
      </c>
      <c r="S234" t="n">
        <v>1</v>
      </c>
      <c r="T234" t="n">
        <v>324</v>
      </c>
      <c r="U234" t="inlineStr">
        <is>
          <t>1998-07-27</t>
        </is>
      </c>
      <c r="V234" t="inlineStr">
        <is>
          <t>1998-07-28</t>
        </is>
      </c>
      <c r="W234" t="inlineStr">
        <is>
          <t>1997-06-05</t>
        </is>
      </c>
      <c r="X234" t="inlineStr">
        <is>
          <t>1998-06-24</t>
        </is>
      </c>
      <c r="Y234" t="n">
        <v>259</v>
      </c>
      <c r="Z234" t="n">
        <v>221</v>
      </c>
      <c r="AA234" t="n">
        <v>223</v>
      </c>
      <c r="AB234" t="n">
        <v>2</v>
      </c>
      <c r="AC234" t="n">
        <v>2</v>
      </c>
      <c r="AD234" t="n">
        <v>10</v>
      </c>
      <c r="AE234" t="n">
        <v>10</v>
      </c>
      <c r="AF234" t="n">
        <v>2</v>
      </c>
      <c r="AG234" t="n">
        <v>2</v>
      </c>
      <c r="AH234" t="n">
        <v>2</v>
      </c>
      <c r="AI234" t="n">
        <v>2</v>
      </c>
      <c r="AJ234" t="n">
        <v>8</v>
      </c>
      <c r="AK234" t="n">
        <v>8</v>
      </c>
      <c r="AL234" t="n">
        <v>1</v>
      </c>
      <c r="AM234" t="n">
        <v>1</v>
      </c>
      <c r="AN234" t="n">
        <v>0</v>
      </c>
      <c r="AO234" t="n">
        <v>0</v>
      </c>
      <c r="AP234" t="inlineStr">
        <is>
          <t>No</t>
        </is>
      </c>
      <c r="AQ234" t="inlineStr">
        <is>
          <t>Yes</t>
        </is>
      </c>
      <c r="AR234">
        <f>HYPERLINK("http://catalog.hathitrust.org/Record/009932175","HathiTrust Record")</f>
        <v/>
      </c>
      <c r="AS234">
        <f>HYPERLINK("https://creighton-primo.hosted.exlibrisgroup.com/primo-explore/search?tab=default_tab&amp;search_scope=EVERYTHING&amp;vid=01CRU&amp;lang=en_US&amp;offset=0&amp;query=any,contains,991005356889702656","Catalog Record")</f>
        <v/>
      </c>
      <c r="AT234">
        <f>HYPERLINK("http://www.worldcat.org/oclc/802031","WorldCat Record")</f>
        <v/>
      </c>
      <c r="AU234" t="inlineStr">
        <is>
          <t>4924721893:ger</t>
        </is>
      </c>
      <c r="AV234" t="inlineStr">
        <is>
          <t>802031</t>
        </is>
      </c>
      <c r="AW234" t="inlineStr">
        <is>
          <t>991005356889702656</t>
        </is>
      </c>
      <c r="AX234" t="inlineStr">
        <is>
          <t>991005356889702656</t>
        </is>
      </c>
      <c r="AY234" t="inlineStr">
        <is>
          <t>2270552310002656</t>
        </is>
      </c>
      <c r="AZ234" t="inlineStr">
        <is>
          <t>BOOK</t>
        </is>
      </c>
      <c r="BC234" t="inlineStr">
        <is>
          <t>32285002790680</t>
        </is>
      </c>
      <c r="BD234" t="inlineStr">
        <is>
          <t>893520916</t>
        </is>
      </c>
    </row>
    <row r="235">
      <c r="A235" t="inlineStr">
        <is>
          <t>No</t>
        </is>
      </c>
      <c r="B235" t="inlineStr">
        <is>
          <t>QD151 .G52 NO. 44</t>
        </is>
      </c>
      <c r="C235" t="inlineStr">
        <is>
          <t>0                      QD 0151000G  52                                                      NO. 44</t>
        </is>
      </c>
      <c r="D235" t="inlineStr">
        <is>
          <t>Gmelins Handbuch der anorganischen chemie.</t>
        </is>
      </c>
      <c r="E235" t="inlineStr">
        <is>
          <t>NO. 44*</t>
        </is>
      </c>
      <c r="F235" t="inlineStr">
        <is>
          <t>Yes</t>
        </is>
      </c>
      <c r="G235" t="inlineStr">
        <is>
          <t>1</t>
        </is>
      </c>
      <c r="H235" t="inlineStr">
        <is>
          <t>No</t>
        </is>
      </c>
      <c r="I235" t="inlineStr">
        <is>
          <t>No</t>
        </is>
      </c>
      <c r="J235" t="inlineStr">
        <is>
          <t>0</t>
        </is>
      </c>
      <c r="L235" t="inlineStr">
        <is>
          <t>Leipzig-Berlin, Verlag Chemie g.m.b.h., 1924-</t>
        </is>
      </c>
      <c r="M235" t="inlineStr">
        <is>
          <t>1924</t>
        </is>
      </c>
      <c r="N235" t="inlineStr">
        <is>
          <t>8. aufl. Hrsg. von der Deutschen chemischen gesellschaft, bearb. von R.J. Meyer, unter beratender mitwirkung von Franz Peters.</t>
        </is>
      </c>
      <c r="O235" t="inlineStr">
        <is>
          <t>ger</t>
        </is>
      </c>
      <c r="P235" t="inlineStr">
        <is>
          <t xml:space="preserve">xx </t>
        </is>
      </c>
      <c r="R235" t="inlineStr">
        <is>
          <t xml:space="preserve">QD </t>
        </is>
      </c>
      <c r="S235" t="n">
        <v>1</v>
      </c>
      <c r="T235" t="n">
        <v>324</v>
      </c>
      <c r="U235" t="inlineStr">
        <is>
          <t>1998-07-27</t>
        </is>
      </c>
      <c r="V235" t="inlineStr">
        <is>
          <t>1998-07-28</t>
        </is>
      </c>
      <c r="W235" t="inlineStr">
        <is>
          <t>1997-06-05</t>
        </is>
      </c>
      <c r="X235" t="inlineStr">
        <is>
          <t>1998-06-24</t>
        </is>
      </c>
      <c r="Y235" t="n">
        <v>259</v>
      </c>
      <c r="Z235" t="n">
        <v>221</v>
      </c>
      <c r="AA235" t="n">
        <v>223</v>
      </c>
      <c r="AB235" t="n">
        <v>2</v>
      </c>
      <c r="AC235" t="n">
        <v>2</v>
      </c>
      <c r="AD235" t="n">
        <v>10</v>
      </c>
      <c r="AE235" t="n">
        <v>10</v>
      </c>
      <c r="AF235" t="n">
        <v>2</v>
      </c>
      <c r="AG235" t="n">
        <v>2</v>
      </c>
      <c r="AH235" t="n">
        <v>2</v>
      </c>
      <c r="AI235" t="n">
        <v>2</v>
      </c>
      <c r="AJ235" t="n">
        <v>8</v>
      </c>
      <c r="AK235" t="n">
        <v>8</v>
      </c>
      <c r="AL235" t="n">
        <v>1</v>
      </c>
      <c r="AM235" t="n">
        <v>1</v>
      </c>
      <c r="AN235" t="n">
        <v>0</v>
      </c>
      <c r="AO235" t="n">
        <v>0</v>
      </c>
      <c r="AP235" t="inlineStr">
        <is>
          <t>No</t>
        </is>
      </c>
      <c r="AQ235" t="inlineStr">
        <is>
          <t>Yes</t>
        </is>
      </c>
      <c r="AR235">
        <f>HYPERLINK("http://catalog.hathitrust.org/Record/009932175","HathiTrust Record")</f>
        <v/>
      </c>
      <c r="AS235">
        <f>HYPERLINK("https://creighton-primo.hosted.exlibrisgroup.com/primo-explore/search?tab=default_tab&amp;search_scope=EVERYTHING&amp;vid=01CRU&amp;lang=en_US&amp;offset=0&amp;query=any,contains,991005356889702656","Catalog Record")</f>
        <v/>
      </c>
      <c r="AT235">
        <f>HYPERLINK("http://www.worldcat.org/oclc/802031","WorldCat Record")</f>
        <v/>
      </c>
      <c r="AU235" t="inlineStr">
        <is>
          <t>4924721893:ger</t>
        </is>
      </c>
      <c r="AV235" t="inlineStr">
        <is>
          <t>802031</t>
        </is>
      </c>
      <c r="AW235" t="inlineStr">
        <is>
          <t>991005356889702656</t>
        </is>
      </c>
      <c r="AX235" t="inlineStr">
        <is>
          <t>991005356889702656</t>
        </is>
      </c>
      <c r="AY235" t="inlineStr">
        <is>
          <t>2270552310002656</t>
        </is>
      </c>
      <c r="AZ235" t="inlineStr">
        <is>
          <t>BOOK</t>
        </is>
      </c>
      <c r="BC235" t="inlineStr">
        <is>
          <t>32285002790698</t>
        </is>
      </c>
      <c r="BD235" t="inlineStr">
        <is>
          <t>893520954</t>
        </is>
      </c>
    </row>
    <row r="236">
      <c r="A236" t="inlineStr">
        <is>
          <t>No</t>
        </is>
      </c>
      <c r="B236" t="inlineStr">
        <is>
          <t>QD151 .G52 NO. 44 PT. C1</t>
        </is>
      </c>
      <c r="C236" t="inlineStr">
        <is>
          <t>0                      QD 0151000G  52                                                      NO. 44 PT. C1</t>
        </is>
      </c>
      <c r="D236" t="inlineStr">
        <is>
          <t>Gmelins Handbuch der anorganischen chemie.</t>
        </is>
      </c>
      <c r="E236" t="inlineStr">
        <is>
          <t>NO. 44 PT. C1*</t>
        </is>
      </c>
      <c r="F236" t="inlineStr">
        <is>
          <t>Yes</t>
        </is>
      </c>
      <c r="G236" t="inlineStr">
        <is>
          <t>1</t>
        </is>
      </c>
      <c r="H236" t="inlineStr">
        <is>
          <t>No</t>
        </is>
      </c>
      <c r="I236" t="inlineStr">
        <is>
          <t>No</t>
        </is>
      </c>
      <c r="J236" t="inlineStr">
        <is>
          <t>0</t>
        </is>
      </c>
      <c r="L236" t="inlineStr">
        <is>
          <t>Leipzig-Berlin, Verlag Chemie g.m.b.h., 1924-</t>
        </is>
      </c>
      <c r="M236" t="inlineStr">
        <is>
          <t>1924</t>
        </is>
      </c>
      <c r="N236" t="inlineStr">
        <is>
          <t>8. aufl. Hrsg. von der Deutschen chemischen gesellschaft, bearb. von R.J. Meyer, unter beratender mitwirkung von Franz Peters.</t>
        </is>
      </c>
      <c r="O236" t="inlineStr">
        <is>
          <t>ger</t>
        </is>
      </c>
      <c r="P236" t="inlineStr">
        <is>
          <t xml:space="preserve">xx </t>
        </is>
      </c>
      <c r="R236" t="inlineStr">
        <is>
          <t xml:space="preserve">QD </t>
        </is>
      </c>
      <c r="S236" t="n">
        <v>1</v>
      </c>
      <c r="T236" t="n">
        <v>324</v>
      </c>
      <c r="U236" t="inlineStr">
        <is>
          <t>1998-07-27</t>
        </is>
      </c>
      <c r="V236" t="inlineStr">
        <is>
          <t>1998-07-28</t>
        </is>
      </c>
      <c r="W236" t="inlineStr">
        <is>
          <t>1997-06-05</t>
        </is>
      </c>
      <c r="X236" t="inlineStr">
        <is>
          <t>1998-06-24</t>
        </is>
      </c>
      <c r="Y236" t="n">
        <v>259</v>
      </c>
      <c r="Z236" t="n">
        <v>221</v>
      </c>
      <c r="AA236" t="n">
        <v>223</v>
      </c>
      <c r="AB236" t="n">
        <v>2</v>
      </c>
      <c r="AC236" t="n">
        <v>2</v>
      </c>
      <c r="AD236" t="n">
        <v>10</v>
      </c>
      <c r="AE236" t="n">
        <v>10</v>
      </c>
      <c r="AF236" t="n">
        <v>2</v>
      </c>
      <c r="AG236" t="n">
        <v>2</v>
      </c>
      <c r="AH236" t="n">
        <v>2</v>
      </c>
      <c r="AI236" t="n">
        <v>2</v>
      </c>
      <c r="AJ236" t="n">
        <v>8</v>
      </c>
      <c r="AK236" t="n">
        <v>8</v>
      </c>
      <c r="AL236" t="n">
        <v>1</v>
      </c>
      <c r="AM236" t="n">
        <v>1</v>
      </c>
      <c r="AN236" t="n">
        <v>0</v>
      </c>
      <c r="AO236" t="n">
        <v>0</v>
      </c>
      <c r="AP236" t="inlineStr">
        <is>
          <t>No</t>
        </is>
      </c>
      <c r="AQ236" t="inlineStr">
        <is>
          <t>Yes</t>
        </is>
      </c>
      <c r="AR236">
        <f>HYPERLINK("http://catalog.hathitrust.org/Record/009932175","HathiTrust Record")</f>
        <v/>
      </c>
      <c r="AS236">
        <f>HYPERLINK("https://creighton-primo.hosted.exlibrisgroup.com/primo-explore/search?tab=default_tab&amp;search_scope=EVERYTHING&amp;vid=01CRU&amp;lang=en_US&amp;offset=0&amp;query=any,contains,991005356889702656","Catalog Record")</f>
        <v/>
      </c>
      <c r="AT236">
        <f>HYPERLINK("http://www.worldcat.org/oclc/802031","WorldCat Record")</f>
        <v/>
      </c>
      <c r="AU236" t="inlineStr">
        <is>
          <t>4924721893:ger</t>
        </is>
      </c>
      <c r="AV236" t="inlineStr">
        <is>
          <t>802031</t>
        </is>
      </c>
      <c r="AW236" t="inlineStr">
        <is>
          <t>991005356889702656</t>
        </is>
      </c>
      <c r="AX236" t="inlineStr">
        <is>
          <t>991005356889702656</t>
        </is>
      </c>
      <c r="AY236" t="inlineStr">
        <is>
          <t>2270552310002656</t>
        </is>
      </c>
      <c r="AZ236" t="inlineStr">
        <is>
          <t>BOOK</t>
        </is>
      </c>
      <c r="BC236" t="inlineStr">
        <is>
          <t>32285002790706</t>
        </is>
      </c>
      <c r="BD236" t="inlineStr">
        <is>
          <t>893520915</t>
        </is>
      </c>
    </row>
    <row r="237">
      <c r="A237" t="inlineStr">
        <is>
          <t>No</t>
        </is>
      </c>
      <c r="B237" t="inlineStr">
        <is>
          <t>QD151 .G52 NO. 44 PT. C2</t>
        </is>
      </c>
      <c r="C237" t="inlineStr">
        <is>
          <t>0                      QD 0151000G  52                                                      NO. 44 PT. C2</t>
        </is>
      </c>
      <c r="D237" t="inlineStr">
        <is>
          <t>Gmelins Handbuch der anorganischen chemie.</t>
        </is>
      </c>
      <c r="E237" t="inlineStr">
        <is>
          <t>NO. 44 PT. C2*</t>
        </is>
      </c>
      <c r="F237" t="inlineStr">
        <is>
          <t>Yes</t>
        </is>
      </c>
      <c r="G237" t="inlineStr">
        <is>
          <t>1</t>
        </is>
      </c>
      <c r="H237" t="inlineStr">
        <is>
          <t>No</t>
        </is>
      </c>
      <c r="I237" t="inlineStr">
        <is>
          <t>No</t>
        </is>
      </c>
      <c r="J237" t="inlineStr">
        <is>
          <t>0</t>
        </is>
      </c>
      <c r="L237" t="inlineStr">
        <is>
          <t>Leipzig-Berlin, Verlag Chemie g.m.b.h., 1924-</t>
        </is>
      </c>
      <c r="M237" t="inlineStr">
        <is>
          <t>1924</t>
        </is>
      </c>
      <c r="N237" t="inlineStr">
        <is>
          <t>8. aufl. Hrsg. von der Deutschen chemischen gesellschaft, bearb. von R.J. Meyer, unter beratender mitwirkung von Franz Peters.</t>
        </is>
      </c>
      <c r="O237" t="inlineStr">
        <is>
          <t>ger</t>
        </is>
      </c>
      <c r="P237" t="inlineStr">
        <is>
          <t xml:space="preserve">xx </t>
        </is>
      </c>
      <c r="R237" t="inlineStr">
        <is>
          <t xml:space="preserve">QD </t>
        </is>
      </c>
      <c r="S237" t="n">
        <v>1</v>
      </c>
      <c r="T237" t="n">
        <v>324</v>
      </c>
      <c r="U237" t="inlineStr">
        <is>
          <t>1998-07-27</t>
        </is>
      </c>
      <c r="V237" t="inlineStr">
        <is>
          <t>1998-07-28</t>
        </is>
      </c>
      <c r="W237" t="inlineStr">
        <is>
          <t>1997-06-05</t>
        </is>
      </c>
      <c r="X237" t="inlineStr">
        <is>
          <t>1998-06-24</t>
        </is>
      </c>
      <c r="Y237" t="n">
        <v>259</v>
      </c>
      <c r="Z237" t="n">
        <v>221</v>
      </c>
      <c r="AA237" t="n">
        <v>223</v>
      </c>
      <c r="AB237" t="n">
        <v>2</v>
      </c>
      <c r="AC237" t="n">
        <v>2</v>
      </c>
      <c r="AD237" t="n">
        <v>10</v>
      </c>
      <c r="AE237" t="n">
        <v>10</v>
      </c>
      <c r="AF237" t="n">
        <v>2</v>
      </c>
      <c r="AG237" t="n">
        <v>2</v>
      </c>
      <c r="AH237" t="n">
        <v>2</v>
      </c>
      <c r="AI237" t="n">
        <v>2</v>
      </c>
      <c r="AJ237" t="n">
        <v>8</v>
      </c>
      <c r="AK237" t="n">
        <v>8</v>
      </c>
      <c r="AL237" t="n">
        <v>1</v>
      </c>
      <c r="AM237" t="n">
        <v>1</v>
      </c>
      <c r="AN237" t="n">
        <v>0</v>
      </c>
      <c r="AO237" t="n">
        <v>0</v>
      </c>
      <c r="AP237" t="inlineStr">
        <is>
          <t>No</t>
        </is>
      </c>
      <c r="AQ237" t="inlineStr">
        <is>
          <t>Yes</t>
        </is>
      </c>
      <c r="AR237">
        <f>HYPERLINK("http://catalog.hathitrust.org/Record/009932175","HathiTrust Record")</f>
        <v/>
      </c>
      <c r="AS237">
        <f>HYPERLINK("https://creighton-primo.hosted.exlibrisgroup.com/primo-explore/search?tab=default_tab&amp;search_scope=EVERYTHING&amp;vid=01CRU&amp;lang=en_US&amp;offset=0&amp;query=any,contains,991005356889702656","Catalog Record")</f>
        <v/>
      </c>
      <c r="AT237">
        <f>HYPERLINK("http://www.worldcat.org/oclc/802031","WorldCat Record")</f>
        <v/>
      </c>
      <c r="AU237" t="inlineStr">
        <is>
          <t>4924721893:ger</t>
        </is>
      </c>
      <c r="AV237" t="inlineStr">
        <is>
          <t>802031</t>
        </is>
      </c>
      <c r="AW237" t="inlineStr">
        <is>
          <t>991005356889702656</t>
        </is>
      </c>
      <c r="AX237" t="inlineStr">
        <is>
          <t>991005356889702656</t>
        </is>
      </c>
      <c r="AY237" t="inlineStr">
        <is>
          <t>2270552310002656</t>
        </is>
      </c>
      <c r="AZ237" t="inlineStr">
        <is>
          <t>BOOK</t>
        </is>
      </c>
      <c r="BC237" t="inlineStr">
        <is>
          <t>32285002790714</t>
        </is>
      </c>
      <c r="BD237" t="inlineStr">
        <is>
          <t>893501766</t>
        </is>
      </c>
    </row>
    <row r="238">
      <c r="A238" t="inlineStr">
        <is>
          <t>No</t>
        </is>
      </c>
      <c r="B238" t="inlineStr">
        <is>
          <t>QD151 .G52 NO. 45</t>
        </is>
      </c>
      <c r="C238" t="inlineStr">
        <is>
          <t>0                      QD 0151000G  52                                                      NO. 45</t>
        </is>
      </c>
      <c r="D238" t="inlineStr">
        <is>
          <t>Gmelins Handbuch der anorganischen chemie.</t>
        </is>
      </c>
      <c r="E238" t="inlineStr">
        <is>
          <t>NO. 45*</t>
        </is>
      </c>
      <c r="F238" t="inlineStr">
        <is>
          <t>Yes</t>
        </is>
      </c>
      <c r="G238" t="inlineStr">
        <is>
          <t>1</t>
        </is>
      </c>
      <c r="H238" t="inlineStr">
        <is>
          <t>No</t>
        </is>
      </c>
      <c r="I238" t="inlineStr">
        <is>
          <t>No</t>
        </is>
      </c>
      <c r="J238" t="inlineStr">
        <is>
          <t>0</t>
        </is>
      </c>
      <c r="L238" t="inlineStr">
        <is>
          <t>Leipzig-Berlin, Verlag Chemie g.m.b.h., 1924-</t>
        </is>
      </c>
      <c r="M238" t="inlineStr">
        <is>
          <t>1924</t>
        </is>
      </c>
      <c r="N238" t="inlineStr">
        <is>
          <t>8. aufl. Hrsg. von der Deutschen chemischen gesellschaft, bearb. von R.J. Meyer, unter beratender mitwirkung von Franz Peters.</t>
        </is>
      </c>
      <c r="O238" t="inlineStr">
        <is>
          <t>ger</t>
        </is>
      </c>
      <c r="P238" t="inlineStr">
        <is>
          <t xml:space="preserve">xx </t>
        </is>
      </c>
      <c r="R238" t="inlineStr">
        <is>
          <t xml:space="preserve">QD </t>
        </is>
      </c>
      <c r="S238" t="n">
        <v>1</v>
      </c>
      <c r="T238" t="n">
        <v>324</v>
      </c>
      <c r="U238" t="inlineStr">
        <is>
          <t>1998-07-27</t>
        </is>
      </c>
      <c r="V238" t="inlineStr">
        <is>
          <t>1998-07-28</t>
        </is>
      </c>
      <c r="W238" t="inlineStr">
        <is>
          <t>1997-06-05</t>
        </is>
      </c>
      <c r="X238" t="inlineStr">
        <is>
          <t>1998-06-24</t>
        </is>
      </c>
      <c r="Y238" t="n">
        <v>259</v>
      </c>
      <c r="Z238" t="n">
        <v>221</v>
      </c>
      <c r="AA238" t="n">
        <v>223</v>
      </c>
      <c r="AB238" t="n">
        <v>2</v>
      </c>
      <c r="AC238" t="n">
        <v>2</v>
      </c>
      <c r="AD238" t="n">
        <v>10</v>
      </c>
      <c r="AE238" t="n">
        <v>10</v>
      </c>
      <c r="AF238" t="n">
        <v>2</v>
      </c>
      <c r="AG238" t="n">
        <v>2</v>
      </c>
      <c r="AH238" t="n">
        <v>2</v>
      </c>
      <c r="AI238" t="n">
        <v>2</v>
      </c>
      <c r="AJ238" t="n">
        <v>8</v>
      </c>
      <c r="AK238" t="n">
        <v>8</v>
      </c>
      <c r="AL238" t="n">
        <v>1</v>
      </c>
      <c r="AM238" t="n">
        <v>1</v>
      </c>
      <c r="AN238" t="n">
        <v>0</v>
      </c>
      <c r="AO238" t="n">
        <v>0</v>
      </c>
      <c r="AP238" t="inlineStr">
        <is>
          <t>No</t>
        </is>
      </c>
      <c r="AQ238" t="inlineStr">
        <is>
          <t>Yes</t>
        </is>
      </c>
      <c r="AR238">
        <f>HYPERLINK("http://catalog.hathitrust.org/Record/009932175","HathiTrust Record")</f>
        <v/>
      </c>
      <c r="AS238">
        <f>HYPERLINK("https://creighton-primo.hosted.exlibrisgroup.com/primo-explore/search?tab=default_tab&amp;search_scope=EVERYTHING&amp;vid=01CRU&amp;lang=en_US&amp;offset=0&amp;query=any,contains,991005356889702656","Catalog Record")</f>
        <v/>
      </c>
      <c r="AT238">
        <f>HYPERLINK("http://www.worldcat.org/oclc/802031","WorldCat Record")</f>
        <v/>
      </c>
      <c r="AU238" t="inlineStr">
        <is>
          <t>4924721893:ger</t>
        </is>
      </c>
      <c r="AV238" t="inlineStr">
        <is>
          <t>802031</t>
        </is>
      </c>
      <c r="AW238" t="inlineStr">
        <is>
          <t>991005356889702656</t>
        </is>
      </c>
      <c r="AX238" t="inlineStr">
        <is>
          <t>991005356889702656</t>
        </is>
      </c>
      <c r="AY238" t="inlineStr">
        <is>
          <t>2270552310002656</t>
        </is>
      </c>
      <c r="AZ238" t="inlineStr">
        <is>
          <t>BOOK</t>
        </is>
      </c>
      <c r="BC238" t="inlineStr">
        <is>
          <t>32285002790722</t>
        </is>
      </c>
      <c r="BD238" t="inlineStr">
        <is>
          <t>893527389</t>
        </is>
      </c>
    </row>
    <row r="239">
      <c r="A239" t="inlineStr">
        <is>
          <t>No</t>
        </is>
      </c>
      <c r="B239" t="inlineStr">
        <is>
          <t>QD151 .G52 NO. 45 SUPP.</t>
        </is>
      </c>
      <c r="C239" t="inlineStr">
        <is>
          <t>0                      QD 0151000G  52                                                      NO. 45 SUPP.</t>
        </is>
      </c>
      <c r="D239" t="inlineStr">
        <is>
          <t>Gmelins Handbuch der anorganischen chemie.</t>
        </is>
      </c>
      <c r="E239" t="inlineStr">
        <is>
          <t>NO. 45 SUPP.*</t>
        </is>
      </c>
      <c r="F239" t="inlineStr">
        <is>
          <t>Yes</t>
        </is>
      </c>
      <c r="G239" t="inlineStr">
        <is>
          <t>1</t>
        </is>
      </c>
      <c r="H239" t="inlineStr">
        <is>
          <t>No</t>
        </is>
      </c>
      <c r="I239" t="inlineStr">
        <is>
          <t>No</t>
        </is>
      </c>
      <c r="J239" t="inlineStr">
        <is>
          <t>0</t>
        </is>
      </c>
      <c r="L239" t="inlineStr">
        <is>
          <t>Leipzig-Berlin, Verlag Chemie g.m.b.h., 1924-</t>
        </is>
      </c>
      <c r="M239" t="inlineStr">
        <is>
          <t>1924</t>
        </is>
      </c>
      <c r="N239" t="inlineStr">
        <is>
          <t>8. aufl. Hrsg. von der Deutschen chemischen gesellschaft, bearb. von R.J. Meyer, unter beratender mitwirkung von Franz Peters.</t>
        </is>
      </c>
      <c r="O239" t="inlineStr">
        <is>
          <t>ger</t>
        </is>
      </c>
      <c r="P239" t="inlineStr">
        <is>
          <t xml:space="preserve">xx </t>
        </is>
      </c>
      <c r="R239" t="inlineStr">
        <is>
          <t xml:space="preserve">QD </t>
        </is>
      </c>
      <c r="S239" t="n">
        <v>1</v>
      </c>
      <c r="T239" t="n">
        <v>324</v>
      </c>
      <c r="U239" t="inlineStr">
        <is>
          <t>1998-07-27</t>
        </is>
      </c>
      <c r="V239" t="inlineStr">
        <is>
          <t>1998-07-28</t>
        </is>
      </c>
      <c r="W239" t="inlineStr">
        <is>
          <t>1997-06-05</t>
        </is>
      </c>
      <c r="X239" t="inlineStr">
        <is>
          <t>1998-06-24</t>
        </is>
      </c>
      <c r="Y239" t="n">
        <v>259</v>
      </c>
      <c r="Z239" t="n">
        <v>221</v>
      </c>
      <c r="AA239" t="n">
        <v>223</v>
      </c>
      <c r="AB239" t="n">
        <v>2</v>
      </c>
      <c r="AC239" t="n">
        <v>2</v>
      </c>
      <c r="AD239" t="n">
        <v>10</v>
      </c>
      <c r="AE239" t="n">
        <v>10</v>
      </c>
      <c r="AF239" t="n">
        <v>2</v>
      </c>
      <c r="AG239" t="n">
        <v>2</v>
      </c>
      <c r="AH239" t="n">
        <v>2</v>
      </c>
      <c r="AI239" t="n">
        <v>2</v>
      </c>
      <c r="AJ239" t="n">
        <v>8</v>
      </c>
      <c r="AK239" t="n">
        <v>8</v>
      </c>
      <c r="AL239" t="n">
        <v>1</v>
      </c>
      <c r="AM239" t="n">
        <v>1</v>
      </c>
      <c r="AN239" t="n">
        <v>0</v>
      </c>
      <c r="AO239" t="n">
        <v>0</v>
      </c>
      <c r="AP239" t="inlineStr">
        <is>
          <t>No</t>
        </is>
      </c>
      <c r="AQ239" t="inlineStr">
        <is>
          <t>Yes</t>
        </is>
      </c>
      <c r="AR239">
        <f>HYPERLINK("http://catalog.hathitrust.org/Record/009932175","HathiTrust Record")</f>
        <v/>
      </c>
      <c r="AS239">
        <f>HYPERLINK("https://creighton-primo.hosted.exlibrisgroup.com/primo-explore/search?tab=default_tab&amp;search_scope=EVERYTHING&amp;vid=01CRU&amp;lang=en_US&amp;offset=0&amp;query=any,contains,991005356889702656","Catalog Record")</f>
        <v/>
      </c>
      <c r="AT239">
        <f>HYPERLINK("http://www.worldcat.org/oclc/802031","WorldCat Record")</f>
        <v/>
      </c>
      <c r="AU239" t="inlineStr">
        <is>
          <t>4924721893:ger</t>
        </is>
      </c>
      <c r="AV239" t="inlineStr">
        <is>
          <t>802031</t>
        </is>
      </c>
      <c r="AW239" t="inlineStr">
        <is>
          <t>991005356889702656</t>
        </is>
      </c>
      <c r="AX239" t="inlineStr">
        <is>
          <t>991005356889702656</t>
        </is>
      </c>
      <c r="AY239" t="inlineStr">
        <is>
          <t>2270552310002656</t>
        </is>
      </c>
      <c r="AZ239" t="inlineStr">
        <is>
          <t>BOOK</t>
        </is>
      </c>
      <c r="BC239" t="inlineStr">
        <is>
          <t>32285002790730</t>
        </is>
      </c>
      <c r="BD239" t="inlineStr">
        <is>
          <t>893501756</t>
        </is>
      </c>
    </row>
    <row r="240">
      <c r="A240" t="inlineStr">
        <is>
          <t>No</t>
        </is>
      </c>
      <c r="B240" t="inlineStr">
        <is>
          <t>QD151 .G52 NO. 46 PT. A</t>
        </is>
      </c>
      <c r="C240" t="inlineStr">
        <is>
          <t>0                      QD 0151000G  52                                                      NO. 46 PT. A</t>
        </is>
      </c>
      <c r="D240" t="inlineStr">
        <is>
          <t>Gmelins Handbuch der anorganischen chemie.</t>
        </is>
      </c>
      <c r="E240" t="inlineStr">
        <is>
          <t>NO. 46 PT. A*</t>
        </is>
      </c>
      <c r="F240" t="inlineStr">
        <is>
          <t>Yes</t>
        </is>
      </c>
      <c r="G240" t="inlineStr">
        <is>
          <t>1</t>
        </is>
      </c>
      <c r="H240" t="inlineStr">
        <is>
          <t>No</t>
        </is>
      </c>
      <c r="I240" t="inlineStr">
        <is>
          <t>No</t>
        </is>
      </c>
      <c r="J240" t="inlineStr">
        <is>
          <t>0</t>
        </is>
      </c>
      <c r="L240" t="inlineStr">
        <is>
          <t>Leipzig-Berlin, Verlag Chemie g.m.b.h., 1924-</t>
        </is>
      </c>
      <c r="M240" t="inlineStr">
        <is>
          <t>1924</t>
        </is>
      </c>
      <c r="N240" t="inlineStr">
        <is>
          <t>8. aufl. Hrsg. von der Deutschen chemischen gesellschaft, bearb. von R.J. Meyer, unter beratender mitwirkung von Franz Peters.</t>
        </is>
      </c>
      <c r="O240" t="inlineStr">
        <is>
          <t>ger</t>
        </is>
      </c>
      <c r="P240" t="inlineStr">
        <is>
          <t xml:space="preserve">xx </t>
        </is>
      </c>
      <c r="R240" t="inlineStr">
        <is>
          <t xml:space="preserve">QD </t>
        </is>
      </c>
      <c r="S240" t="n">
        <v>1</v>
      </c>
      <c r="T240" t="n">
        <v>324</v>
      </c>
      <c r="U240" t="inlineStr">
        <is>
          <t>1998-07-27</t>
        </is>
      </c>
      <c r="V240" t="inlineStr">
        <is>
          <t>1998-07-28</t>
        </is>
      </c>
      <c r="W240" t="inlineStr">
        <is>
          <t>1997-06-05</t>
        </is>
      </c>
      <c r="X240" t="inlineStr">
        <is>
          <t>1998-06-24</t>
        </is>
      </c>
      <c r="Y240" t="n">
        <v>259</v>
      </c>
      <c r="Z240" t="n">
        <v>221</v>
      </c>
      <c r="AA240" t="n">
        <v>223</v>
      </c>
      <c r="AB240" t="n">
        <v>2</v>
      </c>
      <c r="AC240" t="n">
        <v>2</v>
      </c>
      <c r="AD240" t="n">
        <v>10</v>
      </c>
      <c r="AE240" t="n">
        <v>10</v>
      </c>
      <c r="AF240" t="n">
        <v>2</v>
      </c>
      <c r="AG240" t="n">
        <v>2</v>
      </c>
      <c r="AH240" t="n">
        <v>2</v>
      </c>
      <c r="AI240" t="n">
        <v>2</v>
      </c>
      <c r="AJ240" t="n">
        <v>8</v>
      </c>
      <c r="AK240" t="n">
        <v>8</v>
      </c>
      <c r="AL240" t="n">
        <v>1</v>
      </c>
      <c r="AM240" t="n">
        <v>1</v>
      </c>
      <c r="AN240" t="n">
        <v>0</v>
      </c>
      <c r="AO240" t="n">
        <v>0</v>
      </c>
      <c r="AP240" t="inlineStr">
        <is>
          <t>No</t>
        </is>
      </c>
      <c r="AQ240" t="inlineStr">
        <is>
          <t>Yes</t>
        </is>
      </c>
      <c r="AR240">
        <f>HYPERLINK("http://catalog.hathitrust.org/Record/009932175","HathiTrust Record")</f>
        <v/>
      </c>
      <c r="AS240">
        <f>HYPERLINK("https://creighton-primo.hosted.exlibrisgroup.com/primo-explore/search?tab=default_tab&amp;search_scope=EVERYTHING&amp;vid=01CRU&amp;lang=en_US&amp;offset=0&amp;query=any,contains,991005356889702656","Catalog Record")</f>
        <v/>
      </c>
      <c r="AT240">
        <f>HYPERLINK("http://www.worldcat.org/oclc/802031","WorldCat Record")</f>
        <v/>
      </c>
      <c r="AU240" t="inlineStr">
        <is>
          <t>4924721893:ger</t>
        </is>
      </c>
      <c r="AV240" t="inlineStr">
        <is>
          <t>802031</t>
        </is>
      </c>
      <c r="AW240" t="inlineStr">
        <is>
          <t>991005356889702656</t>
        </is>
      </c>
      <c r="AX240" t="inlineStr">
        <is>
          <t>991005356889702656</t>
        </is>
      </c>
      <c r="AY240" t="inlineStr">
        <is>
          <t>2270552310002656</t>
        </is>
      </c>
      <c r="AZ240" t="inlineStr">
        <is>
          <t>BOOK</t>
        </is>
      </c>
      <c r="BC240" t="inlineStr">
        <is>
          <t>32285002790748</t>
        </is>
      </c>
      <c r="BD240" t="inlineStr">
        <is>
          <t>893501765</t>
        </is>
      </c>
    </row>
    <row r="241">
      <c r="A241" t="inlineStr">
        <is>
          <t>No</t>
        </is>
      </c>
      <c r="B241" t="inlineStr">
        <is>
          <t>QD151 .G52 NO. 46 PT. B</t>
        </is>
      </c>
      <c r="C241" t="inlineStr">
        <is>
          <t>0                      QD 0151000G  52                                                      NO. 46 PT. B</t>
        </is>
      </c>
      <c r="D241" t="inlineStr">
        <is>
          <t>Gmelins Handbuch der anorganischen chemie.</t>
        </is>
      </c>
      <c r="E241" t="inlineStr">
        <is>
          <t>NO. 46 PT. B*</t>
        </is>
      </c>
      <c r="F241" t="inlineStr">
        <is>
          <t>Yes</t>
        </is>
      </c>
      <c r="G241" t="inlineStr">
        <is>
          <t>1</t>
        </is>
      </c>
      <c r="H241" t="inlineStr">
        <is>
          <t>No</t>
        </is>
      </c>
      <c r="I241" t="inlineStr">
        <is>
          <t>No</t>
        </is>
      </c>
      <c r="J241" t="inlineStr">
        <is>
          <t>0</t>
        </is>
      </c>
      <c r="L241" t="inlineStr">
        <is>
          <t>Leipzig-Berlin, Verlag Chemie g.m.b.h., 1924-</t>
        </is>
      </c>
      <c r="M241" t="inlineStr">
        <is>
          <t>1924</t>
        </is>
      </c>
      <c r="N241" t="inlineStr">
        <is>
          <t>8. aufl. Hrsg. von der Deutschen chemischen gesellschaft, bearb. von R.J. Meyer, unter beratender mitwirkung von Franz Peters.</t>
        </is>
      </c>
      <c r="O241" t="inlineStr">
        <is>
          <t>ger</t>
        </is>
      </c>
      <c r="P241" t="inlineStr">
        <is>
          <t xml:space="preserve">xx </t>
        </is>
      </c>
      <c r="R241" t="inlineStr">
        <is>
          <t xml:space="preserve">QD </t>
        </is>
      </c>
      <c r="S241" t="n">
        <v>1</v>
      </c>
      <c r="T241" t="n">
        <v>324</v>
      </c>
      <c r="U241" t="inlineStr">
        <is>
          <t>1998-07-27</t>
        </is>
      </c>
      <c r="V241" t="inlineStr">
        <is>
          <t>1998-07-28</t>
        </is>
      </c>
      <c r="W241" t="inlineStr">
        <is>
          <t>1997-06-05</t>
        </is>
      </c>
      <c r="X241" t="inlineStr">
        <is>
          <t>1998-06-24</t>
        </is>
      </c>
      <c r="Y241" t="n">
        <v>259</v>
      </c>
      <c r="Z241" t="n">
        <v>221</v>
      </c>
      <c r="AA241" t="n">
        <v>223</v>
      </c>
      <c r="AB241" t="n">
        <v>2</v>
      </c>
      <c r="AC241" t="n">
        <v>2</v>
      </c>
      <c r="AD241" t="n">
        <v>10</v>
      </c>
      <c r="AE241" t="n">
        <v>10</v>
      </c>
      <c r="AF241" t="n">
        <v>2</v>
      </c>
      <c r="AG241" t="n">
        <v>2</v>
      </c>
      <c r="AH241" t="n">
        <v>2</v>
      </c>
      <c r="AI241" t="n">
        <v>2</v>
      </c>
      <c r="AJ241" t="n">
        <v>8</v>
      </c>
      <c r="AK241" t="n">
        <v>8</v>
      </c>
      <c r="AL241" t="n">
        <v>1</v>
      </c>
      <c r="AM241" t="n">
        <v>1</v>
      </c>
      <c r="AN241" t="n">
        <v>0</v>
      </c>
      <c r="AO241" t="n">
        <v>0</v>
      </c>
      <c r="AP241" t="inlineStr">
        <is>
          <t>No</t>
        </is>
      </c>
      <c r="AQ241" t="inlineStr">
        <is>
          <t>Yes</t>
        </is>
      </c>
      <c r="AR241">
        <f>HYPERLINK("http://catalog.hathitrust.org/Record/009932175","HathiTrust Record")</f>
        <v/>
      </c>
      <c r="AS241">
        <f>HYPERLINK("https://creighton-primo.hosted.exlibrisgroup.com/primo-explore/search?tab=default_tab&amp;search_scope=EVERYTHING&amp;vid=01CRU&amp;lang=en_US&amp;offset=0&amp;query=any,contains,991005356889702656","Catalog Record")</f>
        <v/>
      </c>
      <c r="AT241">
        <f>HYPERLINK("http://www.worldcat.org/oclc/802031","WorldCat Record")</f>
        <v/>
      </c>
      <c r="AU241" t="inlineStr">
        <is>
          <t>4924721893:ger</t>
        </is>
      </c>
      <c r="AV241" t="inlineStr">
        <is>
          <t>802031</t>
        </is>
      </c>
      <c r="AW241" t="inlineStr">
        <is>
          <t>991005356889702656</t>
        </is>
      </c>
      <c r="AX241" t="inlineStr">
        <is>
          <t>991005356889702656</t>
        </is>
      </c>
      <c r="AY241" t="inlineStr">
        <is>
          <t>2270552310002656</t>
        </is>
      </c>
      <c r="AZ241" t="inlineStr">
        <is>
          <t>BOOK</t>
        </is>
      </c>
      <c r="BC241" t="inlineStr">
        <is>
          <t>32285002790755</t>
        </is>
      </c>
      <c r="BD241" t="inlineStr">
        <is>
          <t>893520953</t>
        </is>
      </c>
    </row>
    <row r="242">
      <c r="A242" t="inlineStr">
        <is>
          <t>No</t>
        </is>
      </c>
      <c r="B242" t="inlineStr">
        <is>
          <t>QD151 .G52 NO. 46 PT. C1</t>
        </is>
      </c>
      <c r="C242" t="inlineStr">
        <is>
          <t>0                      QD 0151000G  52                                                      NO. 46 PT. C1</t>
        </is>
      </c>
      <c r="D242" t="inlineStr">
        <is>
          <t>Gmelins Handbuch der anorganischen chemie.</t>
        </is>
      </c>
      <c r="E242" t="inlineStr">
        <is>
          <t>NO. 46 PT. C1*</t>
        </is>
      </c>
      <c r="F242" t="inlineStr">
        <is>
          <t>Yes</t>
        </is>
      </c>
      <c r="G242" t="inlineStr">
        <is>
          <t>1</t>
        </is>
      </c>
      <c r="H242" t="inlineStr">
        <is>
          <t>No</t>
        </is>
      </c>
      <c r="I242" t="inlineStr">
        <is>
          <t>No</t>
        </is>
      </c>
      <c r="J242" t="inlineStr">
        <is>
          <t>0</t>
        </is>
      </c>
      <c r="L242" t="inlineStr">
        <is>
          <t>Leipzig-Berlin, Verlag Chemie g.m.b.h., 1924-</t>
        </is>
      </c>
      <c r="M242" t="inlineStr">
        <is>
          <t>1924</t>
        </is>
      </c>
      <c r="N242" t="inlineStr">
        <is>
          <t>8. aufl. Hrsg. von der Deutschen chemischen gesellschaft, bearb. von R.J. Meyer, unter beratender mitwirkung von Franz Peters.</t>
        </is>
      </c>
      <c r="O242" t="inlineStr">
        <is>
          <t>ger</t>
        </is>
      </c>
      <c r="P242" t="inlineStr">
        <is>
          <t xml:space="preserve">xx </t>
        </is>
      </c>
      <c r="R242" t="inlineStr">
        <is>
          <t xml:space="preserve">QD </t>
        </is>
      </c>
      <c r="S242" t="n">
        <v>1</v>
      </c>
      <c r="T242" t="n">
        <v>324</v>
      </c>
      <c r="U242" t="inlineStr">
        <is>
          <t>1998-07-27</t>
        </is>
      </c>
      <c r="V242" t="inlineStr">
        <is>
          <t>1998-07-28</t>
        </is>
      </c>
      <c r="W242" t="inlineStr">
        <is>
          <t>1997-06-05</t>
        </is>
      </c>
      <c r="X242" t="inlineStr">
        <is>
          <t>1998-06-24</t>
        </is>
      </c>
      <c r="Y242" t="n">
        <v>259</v>
      </c>
      <c r="Z242" t="n">
        <v>221</v>
      </c>
      <c r="AA242" t="n">
        <v>223</v>
      </c>
      <c r="AB242" t="n">
        <v>2</v>
      </c>
      <c r="AC242" t="n">
        <v>2</v>
      </c>
      <c r="AD242" t="n">
        <v>10</v>
      </c>
      <c r="AE242" t="n">
        <v>10</v>
      </c>
      <c r="AF242" t="n">
        <v>2</v>
      </c>
      <c r="AG242" t="n">
        <v>2</v>
      </c>
      <c r="AH242" t="n">
        <v>2</v>
      </c>
      <c r="AI242" t="n">
        <v>2</v>
      </c>
      <c r="AJ242" t="n">
        <v>8</v>
      </c>
      <c r="AK242" t="n">
        <v>8</v>
      </c>
      <c r="AL242" t="n">
        <v>1</v>
      </c>
      <c r="AM242" t="n">
        <v>1</v>
      </c>
      <c r="AN242" t="n">
        <v>0</v>
      </c>
      <c r="AO242" t="n">
        <v>0</v>
      </c>
      <c r="AP242" t="inlineStr">
        <is>
          <t>No</t>
        </is>
      </c>
      <c r="AQ242" t="inlineStr">
        <is>
          <t>Yes</t>
        </is>
      </c>
      <c r="AR242">
        <f>HYPERLINK("http://catalog.hathitrust.org/Record/009932175","HathiTrust Record")</f>
        <v/>
      </c>
      <c r="AS242">
        <f>HYPERLINK("https://creighton-primo.hosted.exlibrisgroup.com/primo-explore/search?tab=default_tab&amp;search_scope=EVERYTHING&amp;vid=01CRU&amp;lang=en_US&amp;offset=0&amp;query=any,contains,991005356889702656","Catalog Record")</f>
        <v/>
      </c>
      <c r="AT242">
        <f>HYPERLINK("http://www.worldcat.org/oclc/802031","WorldCat Record")</f>
        <v/>
      </c>
      <c r="AU242" t="inlineStr">
        <is>
          <t>4924721893:ger</t>
        </is>
      </c>
      <c r="AV242" t="inlineStr">
        <is>
          <t>802031</t>
        </is>
      </c>
      <c r="AW242" t="inlineStr">
        <is>
          <t>991005356889702656</t>
        </is>
      </c>
      <c r="AX242" t="inlineStr">
        <is>
          <t>991005356889702656</t>
        </is>
      </c>
      <c r="AY242" t="inlineStr">
        <is>
          <t>2270552310002656</t>
        </is>
      </c>
      <c r="AZ242" t="inlineStr">
        <is>
          <t>BOOK</t>
        </is>
      </c>
      <c r="BC242" t="inlineStr">
        <is>
          <t>32285002790763</t>
        </is>
      </c>
      <c r="BD242" t="inlineStr">
        <is>
          <t>893520952</t>
        </is>
      </c>
    </row>
    <row r="243">
      <c r="A243" t="inlineStr">
        <is>
          <t>No</t>
        </is>
      </c>
      <c r="B243" t="inlineStr">
        <is>
          <t>QD151 .G52 NO. 46 PT. C2</t>
        </is>
      </c>
      <c r="C243" t="inlineStr">
        <is>
          <t>0                      QD 0151000G  52                                                      NO. 46 PT. C2</t>
        </is>
      </c>
      <c r="D243" t="inlineStr">
        <is>
          <t>Gmelins Handbuch der anorganischen chemie.</t>
        </is>
      </c>
      <c r="E243" t="inlineStr">
        <is>
          <t>NO. 46 PT. C2*</t>
        </is>
      </c>
      <c r="F243" t="inlineStr">
        <is>
          <t>Yes</t>
        </is>
      </c>
      <c r="G243" t="inlineStr">
        <is>
          <t>1</t>
        </is>
      </c>
      <c r="H243" t="inlineStr">
        <is>
          <t>No</t>
        </is>
      </c>
      <c r="I243" t="inlineStr">
        <is>
          <t>No</t>
        </is>
      </c>
      <c r="J243" t="inlineStr">
        <is>
          <t>0</t>
        </is>
      </c>
      <c r="L243" t="inlineStr">
        <is>
          <t>Leipzig-Berlin, Verlag Chemie g.m.b.h., 1924-</t>
        </is>
      </c>
      <c r="M243" t="inlineStr">
        <is>
          <t>1924</t>
        </is>
      </c>
      <c r="N243" t="inlineStr">
        <is>
          <t>8. aufl. Hrsg. von der Deutschen chemischen gesellschaft, bearb. von R.J. Meyer, unter beratender mitwirkung von Franz Peters.</t>
        </is>
      </c>
      <c r="O243" t="inlineStr">
        <is>
          <t>ger</t>
        </is>
      </c>
      <c r="P243" t="inlineStr">
        <is>
          <t xml:space="preserve">xx </t>
        </is>
      </c>
      <c r="R243" t="inlineStr">
        <is>
          <t xml:space="preserve">QD </t>
        </is>
      </c>
      <c r="S243" t="n">
        <v>1</v>
      </c>
      <c r="T243" t="n">
        <v>324</v>
      </c>
      <c r="U243" t="inlineStr">
        <is>
          <t>1998-07-27</t>
        </is>
      </c>
      <c r="V243" t="inlineStr">
        <is>
          <t>1998-07-28</t>
        </is>
      </c>
      <c r="W243" t="inlineStr">
        <is>
          <t>1997-06-05</t>
        </is>
      </c>
      <c r="X243" t="inlineStr">
        <is>
          <t>1998-06-24</t>
        </is>
      </c>
      <c r="Y243" t="n">
        <v>259</v>
      </c>
      <c r="Z243" t="n">
        <v>221</v>
      </c>
      <c r="AA243" t="n">
        <v>223</v>
      </c>
      <c r="AB243" t="n">
        <v>2</v>
      </c>
      <c r="AC243" t="n">
        <v>2</v>
      </c>
      <c r="AD243" t="n">
        <v>10</v>
      </c>
      <c r="AE243" t="n">
        <v>10</v>
      </c>
      <c r="AF243" t="n">
        <v>2</v>
      </c>
      <c r="AG243" t="n">
        <v>2</v>
      </c>
      <c r="AH243" t="n">
        <v>2</v>
      </c>
      <c r="AI243" t="n">
        <v>2</v>
      </c>
      <c r="AJ243" t="n">
        <v>8</v>
      </c>
      <c r="AK243" t="n">
        <v>8</v>
      </c>
      <c r="AL243" t="n">
        <v>1</v>
      </c>
      <c r="AM243" t="n">
        <v>1</v>
      </c>
      <c r="AN243" t="n">
        <v>0</v>
      </c>
      <c r="AO243" t="n">
        <v>0</v>
      </c>
      <c r="AP243" t="inlineStr">
        <is>
          <t>No</t>
        </is>
      </c>
      <c r="AQ243" t="inlineStr">
        <is>
          <t>Yes</t>
        </is>
      </c>
      <c r="AR243">
        <f>HYPERLINK("http://catalog.hathitrust.org/Record/009932175","HathiTrust Record")</f>
        <v/>
      </c>
      <c r="AS243">
        <f>HYPERLINK("https://creighton-primo.hosted.exlibrisgroup.com/primo-explore/search?tab=default_tab&amp;search_scope=EVERYTHING&amp;vid=01CRU&amp;lang=en_US&amp;offset=0&amp;query=any,contains,991005356889702656","Catalog Record")</f>
        <v/>
      </c>
      <c r="AT243">
        <f>HYPERLINK("http://www.worldcat.org/oclc/802031","WorldCat Record")</f>
        <v/>
      </c>
      <c r="AU243" t="inlineStr">
        <is>
          <t>4924721893:ger</t>
        </is>
      </c>
      <c r="AV243" t="inlineStr">
        <is>
          <t>802031</t>
        </is>
      </c>
      <c r="AW243" t="inlineStr">
        <is>
          <t>991005356889702656</t>
        </is>
      </c>
      <c r="AX243" t="inlineStr">
        <is>
          <t>991005356889702656</t>
        </is>
      </c>
      <c r="AY243" t="inlineStr">
        <is>
          <t>2270552310002656</t>
        </is>
      </c>
      <c r="AZ243" t="inlineStr">
        <is>
          <t>BOOK</t>
        </is>
      </c>
      <c r="BC243" t="inlineStr">
        <is>
          <t>32285002790771</t>
        </is>
      </c>
      <c r="BD243" t="inlineStr">
        <is>
          <t>893520914</t>
        </is>
      </c>
    </row>
    <row r="244">
      <c r="A244" t="inlineStr">
        <is>
          <t>No</t>
        </is>
      </c>
      <c r="B244" t="inlineStr">
        <is>
          <t>QD151 .G52 NO. 46 PT. C3</t>
        </is>
      </c>
      <c r="C244" t="inlineStr">
        <is>
          <t>0                      QD 0151000G  52                                                      NO. 46 PT. C3</t>
        </is>
      </c>
      <c r="D244" t="inlineStr">
        <is>
          <t>Gmelins Handbuch der anorganischen chemie.</t>
        </is>
      </c>
      <c r="E244" t="inlineStr">
        <is>
          <t>NO. 46 PT. C3*</t>
        </is>
      </c>
      <c r="F244" t="inlineStr">
        <is>
          <t>Yes</t>
        </is>
      </c>
      <c r="G244" t="inlineStr">
        <is>
          <t>1</t>
        </is>
      </c>
      <c r="H244" t="inlineStr">
        <is>
          <t>No</t>
        </is>
      </c>
      <c r="I244" t="inlineStr">
        <is>
          <t>No</t>
        </is>
      </c>
      <c r="J244" t="inlineStr">
        <is>
          <t>0</t>
        </is>
      </c>
      <c r="L244" t="inlineStr">
        <is>
          <t>Leipzig-Berlin, Verlag Chemie g.m.b.h., 1924-</t>
        </is>
      </c>
      <c r="M244" t="inlineStr">
        <is>
          <t>1924</t>
        </is>
      </c>
      <c r="N244" t="inlineStr">
        <is>
          <t>8. aufl. Hrsg. von der Deutschen chemischen gesellschaft, bearb. von R.J. Meyer, unter beratender mitwirkung von Franz Peters.</t>
        </is>
      </c>
      <c r="O244" t="inlineStr">
        <is>
          <t>ger</t>
        </is>
      </c>
      <c r="P244" t="inlineStr">
        <is>
          <t xml:space="preserve">xx </t>
        </is>
      </c>
      <c r="R244" t="inlineStr">
        <is>
          <t xml:space="preserve">QD </t>
        </is>
      </c>
      <c r="S244" t="n">
        <v>1</v>
      </c>
      <c r="T244" t="n">
        <v>324</v>
      </c>
      <c r="U244" t="inlineStr">
        <is>
          <t>1998-07-27</t>
        </is>
      </c>
      <c r="V244" t="inlineStr">
        <is>
          <t>1998-07-28</t>
        </is>
      </c>
      <c r="W244" t="inlineStr">
        <is>
          <t>1997-06-05</t>
        </is>
      </c>
      <c r="X244" t="inlineStr">
        <is>
          <t>1998-06-24</t>
        </is>
      </c>
      <c r="Y244" t="n">
        <v>259</v>
      </c>
      <c r="Z244" t="n">
        <v>221</v>
      </c>
      <c r="AA244" t="n">
        <v>223</v>
      </c>
      <c r="AB244" t="n">
        <v>2</v>
      </c>
      <c r="AC244" t="n">
        <v>2</v>
      </c>
      <c r="AD244" t="n">
        <v>10</v>
      </c>
      <c r="AE244" t="n">
        <v>10</v>
      </c>
      <c r="AF244" t="n">
        <v>2</v>
      </c>
      <c r="AG244" t="n">
        <v>2</v>
      </c>
      <c r="AH244" t="n">
        <v>2</v>
      </c>
      <c r="AI244" t="n">
        <v>2</v>
      </c>
      <c r="AJ244" t="n">
        <v>8</v>
      </c>
      <c r="AK244" t="n">
        <v>8</v>
      </c>
      <c r="AL244" t="n">
        <v>1</v>
      </c>
      <c r="AM244" t="n">
        <v>1</v>
      </c>
      <c r="AN244" t="n">
        <v>0</v>
      </c>
      <c r="AO244" t="n">
        <v>0</v>
      </c>
      <c r="AP244" t="inlineStr">
        <is>
          <t>No</t>
        </is>
      </c>
      <c r="AQ244" t="inlineStr">
        <is>
          <t>Yes</t>
        </is>
      </c>
      <c r="AR244">
        <f>HYPERLINK("http://catalog.hathitrust.org/Record/009932175","HathiTrust Record")</f>
        <v/>
      </c>
      <c r="AS244">
        <f>HYPERLINK("https://creighton-primo.hosted.exlibrisgroup.com/primo-explore/search?tab=default_tab&amp;search_scope=EVERYTHING&amp;vid=01CRU&amp;lang=en_US&amp;offset=0&amp;query=any,contains,991005356889702656","Catalog Record")</f>
        <v/>
      </c>
      <c r="AT244">
        <f>HYPERLINK("http://www.worldcat.org/oclc/802031","WorldCat Record")</f>
        <v/>
      </c>
      <c r="AU244" t="inlineStr">
        <is>
          <t>4924721893:ger</t>
        </is>
      </c>
      <c r="AV244" t="inlineStr">
        <is>
          <t>802031</t>
        </is>
      </c>
      <c r="AW244" t="inlineStr">
        <is>
          <t>991005356889702656</t>
        </is>
      </c>
      <c r="AX244" t="inlineStr">
        <is>
          <t>991005356889702656</t>
        </is>
      </c>
      <c r="AY244" t="inlineStr">
        <is>
          <t>2270552310002656</t>
        </is>
      </c>
      <c r="AZ244" t="inlineStr">
        <is>
          <t>BOOK</t>
        </is>
      </c>
      <c r="BC244" t="inlineStr">
        <is>
          <t>32285002790789</t>
        </is>
      </c>
      <c r="BD244" t="inlineStr">
        <is>
          <t>893533628</t>
        </is>
      </c>
    </row>
    <row r="245">
      <c r="A245" t="inlineStr">
        <is>
          <t>No</t>
        </is>
      </c>
      <c r="B245" t="inlineStr">
        <is>
          <t>QD151 .G52 NO. 46 PT. C4</t>
        </is>
      </c>
      <c r="C245" t="inlineStr">
        <is>
          <t>0                      QD 0151000G  52                                                      NO. 46 PT. C4</t>
        </is>
      </c>
      <c r="D245" t="inlineStr">
        <is>
          <t>Gmelins Handbuch der anorganischen chemie.</t>
        </is>
      </c>
      <c r="E245" t="inlineStr">
        <is>
          <t>NO. 46 PT. C4*</t>
        </is>
      </c>
      <c r="F245" t="inlineStr">
        <is>
          <t>Yes</t>
        </is>
      </c>
      <c r="G245" t="inlineStr">
        <is>
          <t>1</t>
        </is>
      </c>
      <c r="H245" t="inlineStr">
        <is>
          <t>No</t>
        </is>
      </c>
      <c r="I245" t="inlineStr">
        <is>
          <t>No</t>
        </is>
      </c>
      <c r="J245" t="inlineStr">
        <is>
          <t>0</t>
        </is>
      </c>
      <c r="L245" t="inlineStr">
        <is>
          <t>Leipzig-Berlin, Verlag Chemie g.m.b.h., 1924-</t>
        </is>
      </c>
      <c r="M245" t="inlineStr">
        <is>
          <t>1924</t>
        </is>
      </c>
      <c r="N245" t="inlineStr">
        <is>
          <t>8. aufl. Hrsg. von der Deutschen chemischen gesellschaft, bearb. von R.J. Meyer, unter beratender mitwirkung von Franz Peters.</t>
        </is>
      </c>
      <c r="O245" t="inlineStr">
        <is>
          <t>ger</t>
        </is>
      </c>
      <c r="P245" t="inlineStr">
        <is>
          <t xml:space="preserve">xx </t>
        </is>
      </c>
      <c r="R245" t="inlineStr">
        <is>
          <t xml:space="preserve">QD </t>
        </is>
      </c>
      <c r="S245" t="n">
        <v>1</v>
      </c>
      <c r="T245" t="n">
        <v>324</v>
      </c>
      <c r="U245" t="inlineStr">
        <is>
          <t>1998-07-27</t>
        </is>
      </c>
      <c r="V245" t="inlineStr">
        <is>
          <t>1998-07-28</t>
        </is>
      </c>
      <c r="W245" t="inlineStr">
        <is>
          <t>1997-06-05</t>
        </is>
      </c>
      <c r="X245" t="inlineStr">
        <is>
          <t>1998-06-24</t>
        </is>
      </c>
      <c r="Y245" t="n">
        <v>259</v>
      </c>
      <c r="Z245" t="n">
        <v>221</v>
      </c>
      <c r="AA245" t="n">
        <v>223</v>
      </c>
      <c r="AB245" t="n">
        <v>2</v>
      </c>
      <c r="AC245" t="n">
        <v>2</v>
      </c>
      <c r="AD245" t="n">
        <v>10</v>
      </c>
      <c r="AE245" t="n">
        <v>10</v>
      </c>
      <c r="AF245" t="n">
        <v>2</v>
      </c>
      <c r="AG245" t="n">
        <v>2</v>
      </c>
      <c r="AH245" t="n">
        <v>2</v>
      </c>
      <c r="AI245" t="n">
        <v>2</v>
      </c>
      <c r="AJ245" t="n">
        <v>8</v>
      </c>
      <c r="AK245" t="n">
        <v>8</v>
      </c>
      <c r="AL245" t="n">
        <v>1</v>
      </c>
      <c r="AM245" t="n">
        <v>1</v>
      </c>
      <c r="AN245" t="n">
        <v>0</v>
      </c>
      <c r="AO245" t="n">
        <v>0</v>
      </c>
      <c r="AP245" t="inlineStr">
        <is>
          <t>No</t>
        </is>
      </c>
      <c r="AQ245" t="inlineStr">
        <is>
          <t>Yes</t>
        </is>
      </c>
      <c r="AR245">
        <f>HYPERLINK("http://catalog.hathitrust.org/Record/009932175","HathiTrust Record")</f>
        <v/>
      </c>
      <c r="AS245">
        <f>HYPERLINK("https://creighton-primo.hosted.exlibrisgroup.com/primo-explore/search?tab=default_tab&amp;search_scope=EVERYTHING&amp;vid=01CRU&amp;lang=en_US&amp;offset=0&amp;query=any,contains,991005356889702656","Catalog Record")</f>
        <v/>
      </c>
      <c r="AT245">
        <f>HYPERLINK("http://www.worldcat.org/oclc/802031","WorldCat Record")</f>
        <v/>
      </c>
      <c r="AU245" t="inlineStr">
        <is>
          <t>4924721893:ger</t>
        </is>
      </c>
      <c r="AV245" t="inlineStr">
        <is>
          <t>802031</t>
        </is>
      </c>
      <c r="AW245" t="inlineStr">
        <is>
          <t>991005356889702656</t>
        </is>
      </c>
      <c r="AX245" t="inlineStr">
        <is>
          <t>991005356889702656</t>
        </is>
      </c>
      <c r="AY245" t="inlineStr">
        <is>
          <t>2270552310002656</t>
        </is>
      </c>
      <c r="AZ245" t="inlineStr">
        <is>
          <t>BOOK</t>
        </is>
      </c>
      <c r="BC245" t="inlineStr">
        <is>
          <t>32285002790797</t>
        </is>
      </c>
      <c r="BD245" t="inlineStr">
        <is>
          <t>893508048</t>
        </is>
      </c>
    </row>
    <row r="246">
      <c r="A246" t="inlineStr">
        <is>
          <t>No</t>
        </is>
      </c>
      <c r="B246" t="inlineStr">
        <is>
          <t>QD151 .G52 NO. 46 PT. C5</t>
        </is>
      </c>
      <c r="C246" t="inlineStr">
        <is>
          <t>0                      QD 0151000G  52                                                      NO. 46 PT. C5</t>
        </is>
      </c>
      <c r="D246" t="inlineStr">
        <is>
          <t>Gmelins Handbuch der anorganischen chemie.</t>
        </is>
      </c>
      <c r="E246" t="inlineStr">
        <is>
          <t>NO. 46 PT. C5*</t>
        </is>
      </c>
      <c r="F246" t="inlineStr">
        <is>
          <t>Yes</t>
        </is>
      </c>
      <c r="G246" t="inlineStr">
        <is>
          <t>1</t>
        </is>
      </c>
      <c r="H246" t="inlineStr">
        <is>
          <t>No</t>
        </is>
      </c>
      <c r="I246" t="inlineStr">
        <is>
          <t>No</t>
        </is>
      </c>
      <c r="J246" t="inlineStr">
        <is>
          <t>0</t>
        </is>
      </c>
      <c r="L246" t="inlineStr">
        <is>
          <t>Leipzig-Berlin, Verlag Chemie g.m.b.h., 1924-</t>
        </is>
      </c>
      <c r="M246" t="inlineStr">
        <is>
          <t>1924</t>
        </is>
      </c>
      <c r="N246" t="inlineStr">
        <is>
          <t>8. aufl. Hrsg. von der Deutschen chemischen gesellschaft, bearb. von R.J. Meyer, unter beratender mitwirkung von Franz Peters.</t>
        </is>
      </c>
      <c r="O246" t="inlineStr">
        <is>
          <t>ger</t>
        </is>
      </c>
      <c r="P246" t="inlineStr">
        <is>
          <t xml:space="preserve">xx </t>
        </is>
      </c>
      <c r="R246" t="inlineStr">
        <is>
          <t xml:space="preserve">QD </t>
        </is>
      </c>
      <c r="S246" t="n">
        <v>1</v>
      </c>
      <c r="T246" t="n">
        <v>324</v>
      </c>
      <c r="U246" t="inlineStr">
        <is>
          <t>1998-07-27</t>
        </is>
      </c>
      <c r="V246" t="inlineStr">
        <is>
          <t>1998-07-28</t>
        </is>
      </c>
      <c r="W246" t="inlineStr">
        <is>
          <t>1997-06-05</t>
        </is>
      </c>
      <c r="X246" t="inlineStr">
        <is>
          <t>1998-06-24</t>
        </is>
      </c>
      <c r="Y246" t="n">
        <v>259</v>
      </c>
      <c r="Z246" t="n">
        <v>221</v>
      </c>
      <c r="AA246" t="n">
        <v>223</v>
      </c>
      <c r="AB246" t="n">
        <v>2</v>
      </c>
      <c r="AC246" t="n">
        <v>2</v>
      </c>
      <c r="AD246" t="n">
        <v>10</v>
      </c>
      <c r="AE246" t="n">
        <v>10</v>
      </c>
      <c r="AF246" t="n">
        <v>2</v>
      </c>
      <c r="AG246" t="n">
        <v>2</v>
      </c>
      <c r="AH246" t="n">
        <v>2</v>
      </c>
      <c r="AI246" t="n">
        <v>2</v>
      </c>
      <c r="AJ246" t="n">
        <v>8</v>
      </c>
      <c r="AK246" t="n">
        <v>8</v>
      </c>
      <c r="AL246" t="n">
        <v>1</v>
      </c>
      <c r="AM246" t="n">
        <v>1</v>
      </c>
      <c r="AN246" t="n">
        <v>0</v>
      </c>
      <c r="AO246" t="n">
        <v>0</v>
      </c>
      <c r="AP246" t="inlineStr">
        <is>
          <t>No</t>
        </is>
      </c>
      <c r="AQ246" t="inlineStr">
        <is>
          <t>Yes</t>
        </is>
      </c>
      <c r="AR246">
        <f>HYPERLINK("http://catalog.hathitrust.org/Record/009932175","HathiTrust Record")</f>
        <v/>
      </c>
      <c r="AS246">
        <f>HYPERLINK("https://creighton-primo.hosted.exlibrisgroup.com/primo-explore/search?tab=default_tab&amp;search_scope=EVERYTHING&amp;vid=01CRU&amp;lang=en_US&amp;offset=0&amp;query=any,contains,991005356889702656","Catalog Record")</f>
        <v/>
      </c>
      <c r="AT246">
        <f>HYPERLINK("http://www.worldcat.org/oclc/802031","WorldCat Record")</f>
        <v/>
      </c>
      <c r="AU246" t="inlineStr">
        <is>
          <t>4924721893:ger</t>
        </is>
      </c>
      <c r="AV246" t="inlineStr">
        <is>
          <t>802031</t>
        </is>
      </c>
      <c r="AW246" t="inlineStr">
        <is>
          <t>991005356889702656</t>
        </is>
      </c>
      <c r="AX246" t="inlineStr">
        <is>
          <t>991005356889702656</t>
        </is>
      </c>
      <c r="AY246" t="inlineStr">
        <is>
          <t>2270552310002656</t>
        </is>
      </c>
      <c r="AZ246" t="inlineStr">
        <is>
          <t>BOOK</t>
        </is>
      </c>
      <c r="BC246" t="inlineStr">
        <is>
          <t>32285002790805</t>
        </is>
      </c>
      <c r="BD246" t="inlineStr">
        <is>
          <t>893501764</t>
        </is>
      </c>
    </row>
    <row r="247">
      <c r="A247" t="inlineStr">
        <is>
          <t>No</t>
        </is>
      </c>
      <c r="B247" t="inlineStr">
        <is>
          <t>QD151 .G52 NO. 46 PT. C6</t>
        </is>
      </c>
      <c r="C247" t="inlineStr">
        <is>
          <t>0                      QD 0151000G  52                                                      NO. 46 PT. C6</t>
        </is>
      </c>
      <c r="D247" t="inlineStr">
        <is>
          <t>Gmelins Handbuch der anorganischen chemie.</t>
        </is>
      </c>
      <c r="E247" t="inlineStr">
        <is>
          <t>NO. 46 PT. C6*</t>
        </is>
      </c>
      <c r="F247" t="inlineStr">
        <is>
          <t>Yes</t>
        </is>
      </c>
      <c r="G247" t="inlineStr">
        <is>
          <t>1</t>
        </is>
      </c>
      <c r="H247" t="inlineStr">
        <is>
          <t>No</t>
        </is>
      </c>
      <c r="I247" t="inlineStr">
        <is>
          <t>No</t>
        </is>
      </c>
      <c r="J247" t="inlineStr">
        <is>
          <t>0</t>
        </is>
      </c>
      <c r="L247" t="inlineStr">
        <is>
          <t>Leipzig-Berlin, Verlag Chemie g.m.b.h., 1924-</t>
        </is>
      </c>
      <c r="M247" t="inlineStr">
        <is>
          <t>1924</t>
        </is>
      </c>
      <c r="N247" t="inlineStr">
        <is>
          <t>8. aufl. Hrsg. von der Deutschen chemischen gesellschaft, bearb. von R.J. Meyer, unter beratender mitwirkung von Franz Peters.</t>
        </is>
      </c>
      <c r="O247" t="inlineStr">
        <is>
          <t>ger</t>
        </is>
      </c>
      <c r="P247" t="inlineStr">
        <is>
          <t xml:space="preserve">xx </t>
        </is>
      </c>
      <c r="R247" t="inlineStr">
        <is>
          <t xml:space="preserve">QD </t>
        </is>
      </c>
      <c r="S247" t="n">
        <v>1</v>
      </c>
      <c r="T247" t="n">
        <v>324</v>
      </c>
      <c r="U247" t="inlineStr">
        <is>
          <t>1998-07-27</t>
        </is>
      </c>
      <c r="V247" t="inlineStr">
        <is>
          <t>1998-07-28</t>
        </is>
      </c>
      <c r="W247" t="inlineStr">
        <is>
          <t>1997-06-05</t>
        </is>
      </c>
      <c r="X247" t="inlineStr">
        <is>
          <t>1998-06-24</t>
        </is>
      </c>
      <c r="Y247" t="n">
        <v>259</v>
      </c>
      <c r="Z247" t="n">
        <v>221</v>
      </c>
      <c r="AA247" t="n">
        <v>223</v>
      </c>
      <c r="AB247" t="n">
        <v>2</v>
      </c>
      <c r="AC247" t="n">
        <v>2</v>
      </c>
      <c r="AD247" t="n">
        <v>10</v>
      </c>
      <c r="AE247" t="n">
        <v>10</v>
      </c>
      <c r="AF247" t="n">
        <v>2</v>
      </c>
      <c r="AG247" t="n">
        <v>2</v>
      </c>
      <c r="AH247" t="n">
        <v>2</v>
      </c>
      <c r="AI247" t="n">
        <v>2</v>
      </c>
      <c r="AJ247" t="n">
        <v>8</v>
      </c>
      <c r="AK247" t="n">
        <v>8</v>
      </c>
      <c r="AL247" t="n">
        <v>1</v>
      </c>
      <c r="AM247" t="n">
        <v>1</v>
      </c>
      <c r="AN247" t="n">
        <v>0</v>
      </c>
      <c r="AO247" t="n">
        <v>0</v>
      </c>
      <c r="AP247" t="inlineStr">
        <is>
          <t>No</t>
        </is>
      </c>
      <c r="AQ247" t="inlineStr">
        <is>
          <t>Yes</t>
        </is>
      </c>
      <c r="AR247">
        <f>HYPERLINK("http://catalog.hathitrust.org/Record/009932175","HathiTrust Record")</f>
        <v/>
      </c>
      <c r="AS247">
        <f>HYPERLINK("https://creighton-primo.hosted.exlibrisgroup.com/primo-explore/search?tab=default_tab&amp;search_scope=EVERYTHING&amp;vid=01CRU&amp;lang=en_US&amp;offset=0&amp;query=any,contains,991005356889702656","Catalog Record")</f>
        <v/>
      </c>
      <c r="AT247">
        <f>HYPERLINK("http://www.worldcat.org/oclc/802031","WorldCat Record")</f>
        <v/>
      </c>
      <c r="AU247" t="inlineStr">
        <is>
          <t>4924721893:ger</t>
        </is>
      </c>
      <c r="AV247" t="inlineStr">
        <is>
          <t>802031</t>
        </is>
      </c>
      <c r="AW247" t="inlineStr">
        <is>
          <t>991005356889702656</t>
        </is>
      </c>
      <c r="AX247" t="inlineStr">
        <is>
          <t>991005356889702656</t>
        </is>
      </c>
      <c r="AY247" t="inlineStr">
        <is>
          <t>2270552310002656</t>
        </is>
      </c>
      <c r="AZ247" t="inlineStr">
        <is>
          <t>BOOK</t>
        </is>
      </c>
      <c r="BC247" t="inlineStr">
        <is>
          <t>32285002790813</t>
        </is>
      </c>
      <c r="BD247" t="inlineStr">
        <is>
          <t>893527388</t>
        </is>
      </c>
    </row>
    <row r="248">
      <c r="A248" t="inlineStr">
        <is>
          <t>No</t>
        </is>
      </c>
      <c r="B248" t="inlineStr">
        <is>
          <t>QD151 .G52 NO. 46 PT. D</t>
        </is>
      </c>
      <c r="C248" t="inlineStr">
        <is>
          <t>0                      QD 0151000G  52                                                      NO. 46 PT. D</t>
        </is>
      </c>
      <c r="D248" t="inlineStr">
        <is>
          <t>Gmelins Handbuch der anorganischen chemie.</t>
        </is>
      </c>
      <c r="E248" t="inlineStr">
        <is>
          <t>NO. 46 PT. D*</t>
        </is>
      </c>
      <c r="F248" t="inlineStr">
        <is>
          <t>Yes</t>
        </is>
      </c>
      <c r="G248" t="inlineStr">
        <is>
          <t>1</t>
        </is>
      </c>
      <c r="H248" t="inlineStr">
        <is>
          <t>No</t>
        </is>
      </c>
      <c r="I248" t="inlineStr">
        <is>
          <t>No</t>
        </is>
      </c>
      <c r="J248" t="inlineStr">
        <is>
          <t>0</t>
        </is>
      </c>
      <c r="L248" t="inlineStr">
        <is>
          <t>Leipzig-Berlin, Verlag Chemie g.m.b.h., 1924-</t>
        </is>
      </c>
      <c r="M248" t="inlineStr">
        <is>
          <t>1924</t>
        </is>
      </c>
      <c r="N248" t="inlineStr">
        <is>
          <t>8. aufl. Hrsg. von der Deutschen chemischen gesellschaft, bearb. von R.J. Meyer, unter beratender mitwirkung von Franz Peters.</t>
        </is>
      </c>
      <c r="O248" t="inlineStr">
        <is>
          <t>ger</t>
        </is>
      </c>
      <c r="P248" t="inlineStr">
        <is>
          <t xml:space="preserve">xx </t>
        </is>
      </c>
      <c r="R248" t="inlineStr">
        <is>
          <t xml:space="preserve">QD </t>
        </is>
      </c>
      <c r="S248" t="n">
        <v>1</v>
      </c>
      <c r="T248" t="n">
        <v>324</v>
      </c>
      <c r="U248" t="inlineStr">
        <is>
          <t>1998-07-27</t>
        </is>
      </c>
      <c r="V248" t="inlineStr">
        <is>
          <t>1998-07-28</t>
        </is>
      </c>
      <c r="W248" t="inlineStr">
        <is>
          <t>1997-06-05</t>
        </is>
      </c>
      <c r="X248" t="inlineStr">
        <is>
          <t>1998-06-24</t>
        </is>
      </c>
      <c r="Y248" t="n">
        <v>259</v>
      </c>
      <c r="Z248" t="n">
        <v>221</v>
      </c>
      <c r="AA248" t="n">
        <v>223</v>
      </c>
      <c r="AB248" t="n">
        <v>2</v>
      </c>
      <c r="AC248" t="n">
        <v>2</v>
      </c>
      <c r="AD248" t="n">
        <v>10</v>
      </c>
      <c r="AE248" t="n">
        <v>10</v>
      </c>
      <c r="AF248" t="n">
        <v>2</v>
      </c>
      <c r="AG248" t="n">
        <v>2</v>
      </c>
      <c r="AH248" t="n">
        <v>2</v>
      </c>
      <c r="AI248" t="n">
        <v>2</v>
      </c>
      <c r="AJ248" t="n">
        <v>8</v>
      </c>
      <c r="AK248" t="n">
        <v>8</v>
      </c>
      <c r="AL248" t="n">
        <v>1</v>
      </c>
      <c r="AM248" t="n">
        <v>1</v>
      </c>
      <c r="AN248" t="n">
        <v>0</v>
      </c>
      <c r="AO248" t="n">
        <v>0</v>
      </c>
      <c r="AP248" t="inlineStr">
        <is>
          <t>No</t>
        </is>
      </c>
      <c r="AQ248" t="inlineStr">
        <is>
          <t>Yes</t>
        </is>
      </c>
      <c r="AR248">
        <f>HYPERLINK("http://catalog.hathitrust.org/Record/009932175","HathiTrust Record")</f>
        <v/>
      </c>
      <c r="AS248">
        <f>HYPERLINK("https://creighton-primo.hosted.exlibrisgroup.com/primo-explore/search?tab=default_tab&amp;search_scope=EVERYTHING&amp;vid=01CRU&amp;lang=en_US&amp;offset=0&amp;query=any,contains,991005356889702656","Catalog Record")</f>
        <v/>
      </c>
      <c r="AT248">
        <f>HYPERLINK("http://www.worldcat.org/oclc/802031","WorldCat Record")</f>
        <v/>
      </c>
      <c r="AU248" t="inlineStr">
        <is>
          <t>4924721893:ger</t>
        </is>
      </c>
      <c r="AV248" t="inlineStr">
        <is>
          <t>802031</t>
        </is>
      </c>
      <c r="AW248" t="inlineStr">
        <is>
          <t>991005356889702656</t>
        </is>
      </c>
      <c r="AX248" t="inlineStr">
        <is>
          <t>991005356889702656</t>
        </is>
      </c>
      <c r="AY248" t="inlineStr">
        <is>
          <t>2270552310002656</t>
        </is>
      </c>
      <c r="AZ248" t="inlineStr">
        <is>
          <t>BOOK</t>
        </is>
      </c>
      <c r="BC248" t="inlineStr">
        <is>
          <t>32285002790821</t>
        </is>
      </c>
      <c r="BD248" t="inlineStr">
        <is>
          <t>893508047</t>
        </is>
      </c>
    </row>
    <row r="249">
      <c r="A249" t="inlineStr">
        <is>
          <t>No</t>
        </is>
      </c>
      <c r="B249" t="inlineStr">
        <is>
          <t>QD151 .G52 NO. 47 PT. A1</t>
        </is>
      </c>
      <c r="C249" t="inlineStr">
        <is>
          <t>0                      QD 0151000G  52                                                      NO. 47 PT. A1</t>
        </is>
      </c>
      <c r="D249" t="inlineStr">
        <is>
          <t>Gmelins Handbuch der anorganischen chemie.</t>
        </is>
      </c>
      <c r="E249" t="inlineStr">
        <is>
          <t>NO. 47 PT. A1*</t>
        </is>
      </c>
      <c r="F249" t="inlineStr">
        <is>
          <t>Yes</t>
        </is>
      </c>
      <c r="G249" t="inlineStr">
        <is>
          <t>1</t>
        </is>
      </c>
      <c r="H249" t="inlineStr">
        <is>
          <t>No</t>
        </is>
      </c>
      <c r="I249" t="inlineStr">
        <is>
          <t>No</t>
        </is>
      </c>
      <c r="J249" t="inlineStr">
        <is>
          <t>0</t>
        </is>
      </c>
      <c r="L249" t="inlineStr">
        <is>
          <t>Leipzig-Berlin, Verlag Chemie g.m.b.h., 1924-</t>
        </is>
      </c>
      <c r="M249" t="inlineStr">
        <is>
          <t>1924</t>
        </is>
      </c>
      <c r="N249" t="inlineStr">
        <is>
          <t>8. aufl. Hrsg. von der Deutschen chemischen gesellschaft, bearb. von R.J. Meyer, unter beratender mitwirkung von Franz Peters.</t>
        </is>
      </c>
      <c r="O249" t="inlineStr">
        <is>
          <t>ger</t>
        </is>
      </c>
      <c r="P249" t="inlineStr">
        <is>
          <t xml:space="preserve">xx </t>
        </is>
      </c>
      <c r="R249" t="inlineStr">
        <is>
          <t xml:space="preserve">QD </t>
        </is>
      </c>
      <c r="S249" t="n">
        <v>1</v>
      </c>
      <c r="T249" t="n">
        <v>324</v>
      </c>
      <c r="U249" t="inlineStr">
        <is>
          <t>1998-07-27</t>
        </is>
      </c>
      <c r="V249" t="inlineStr">
        <is>
          <t>1998-07-28</t>
        </is>
      </c>
      <c r="W249" t="inlineStr">
        <is>
          <t>1997-06-05</t>
        </is>
      </c>
      <c r="X249" t="inlineStr">
        <is>
          <t>1998-06-24</t>
        </is>
      </c>
      <c r="Y249" t="n">
        <v>259</v>
      </c>
      <c r="Z249" t="n">
        <v>221</v>
      </c>
      <c r="AA249" t="n">
        <v>223</v>
      </c>
      <c r="AB249" t="n">
        <v>2</v>
      </c>
      <c r="AC249" t="n">
        <v>2</v>
      </c>
      <c r="AD249" t="n">
        <v>10</v>
      </c>
      <c r="AE249" t="n">
        <v>10</v>
      </c>
      <c r="AF249" t="n">
        <v>2</v>
      </c>
      <c r="AG249" t="n">
        <v>2</v>
      </c>
      <c r="AH249" t="n">
        <v>2</v>
      </c>
      <c r="AI249" t="n">
        <v>2</v>
      </c>
      <c r="AJ249" t="n">
        <v>8</v>
      </c>
      <c r="AK249" t="n">
        <v>8</v>
      </c>
      <c r="AL249" t="n">
        <v>1</v>
      </c>
      <c r="AM249" t="n">
        <v>1</v>
      </c>
      <c r="AN249" t="n">
        <v>0</v>
      </c>
      <c r="AO249" t="n">
        <v>0</v>
      </c>
      <c r="AP249" t="inlineStr">
        <is>
          <t>No</t>
        </is>
      </c>
      <c r="AQ249" t="inlineStr">
        <is>
          <t>Yes</t>
        </is>
      </c>
      <c r="AR249">
        <f>HYPERLINK("http://catalog.hathitrust.org/Record/009932175","HathiTrust Record")</f>
        <v/>
      </c>
      <c r="AS249">
        <f>HYPERLINK("https://creighton-primo.hosted.exlibrisgroup.com/primo-explore/search?tab=default_tab&amp;search_scope=EVERYTHING&amp;vid=01CRU&amp;lang=en_US&amp;offset=0&amp;query=any,contains,991005356889702656","Catalog Record")</f>
        <v/>
      </c>
      <c r="AT249">
        <f>HYPERLINK("http://www.worldcat.org/oclc/802031","WorldCat Record")</f>
        <v/>
      </c>
      <c r="AU249" t="inlineStr">
        <is>
          <t>4924721893:ger</t>
        </is>
      </c>
      <c r="AV249" t="inlineStr">
        <is>
          <t>802031</t>
        </is>
      </c>
      <c r="AW249" t="inlineStr">
        <is>
          <t>991005356889702656</t>
        </is>
      </c>
      <c r="AX249" t="inlineStr">
        <is>
          <t>991005356889702656</t>
        </is>
      </c>
      <c r="AY249" t="inlineStr">
        <is>
          <t>2270552310002656</t>
        </is>
      </c>
      <c r="AZ249" t="inlineStr">
        <is>
          <t>BOOK</t>
        </is>
      </c>
      <c r="BC249" t="inlineStr">
        <is>
          <t>32285002790839</t>
        </is>
      </c>
      <c r="BD249" t="inlineStr">
        <is>
          <t>893520913</t>
        </is>
      </c>
    </row>
    <row r="250">
      <c r="A250" t="inlineStr">
        <is>
          <t>No</t>
        </is>
      </c>
      <c r="B250" t="inlineStr">
        <is>
          <t>QD151 .G52 NO. 47 PT. A2A</t>
        </is>
      </c>
      <c r="C250" t="inlineStr">
        <is>
          <t>0                      QD 0151000G  52                                                      NO. 47 PT. A2A</t>
        </is>
      </c>
      <c r="D250" t="inlineStr">
        <is>
          <t>Gmelins Handbuch der anorganischen chemie.</t>
        </is>
      </c>
      <c r="E250" t="inlineStr">
        <is>
          <t>NO. 47 PT. A2A*</t>
        </is>
      </c>
      <c r="F250" t="inlineStr">
        <is>
          <t>Yes</t>
        </is>
      </c>
      <c r="G250" t="inlineStr">
        <is>
          <t>1</t>
        </is>
      </c>
      <c r="H250" t="inlineStr">
        <is>
          <t>No</t>
        </is>
      </c>
      <c r="I250" t="inlineStr">
        <is>
          <t>No</t>
        </is>
      </c>
      <c r="J250" t="inlineStr">
        <is>
          <t>0</t>
        </is>
      </c>
      <c r="L250" t="inlineStr">
        <is>
          <t>Leipzig-Berlin, Verlag Chemie g.m.b.h., 1924-</t>
        </is>
      </c>
      <c r="M250" t="inlineStr">
        <is>
          <t>1924</t>
        </is>
      </c>
      <c r="N250" t="inlineStr">
        <is>
          <t>8. aufl. Hrsg. von der Deutschen chemischen gesellschaft, bearb. von R.J. Meyer, unter beratender mitwirkung von Franz Peters.</t>
        </is>
      </c>
      <c r="O250" t="inlineStr">
        <is>
          <t>ger</t>
        </is>
      </c>
      <c r="P250" t="inlineStr">
        <is>
          <t xml:space="preserve">xx </t>
        </is>
      </c>
      <c r="R250" t="inlineStr">
        <is>
          <t xml:space="preserve">QD </t>
        </is>
      </c>
      <c r="S250" t="n">
        <v>1</v>
      </c>
      <c r="T250" t="n">
        <v>324</v>
      </c>
      <c r="U250" t="inlineStr">
        <is>
          <t>1998-07-27</t>
        </is>
      </c>
      <c r="V250" t="inlineStr">
        <is>
          <t>1998-07-28</t>
        </is>
      </c>
      <c r="W250" t="inlineStr">
        <is>
          <t>1997-06-05</t>
        </is>
      </c>
      <c r="X250" t="inlineStr">
        <is>
          <t>1998-06-24</t>
        </is>
      </c>
      <c r="Y250" t="n">
        <v>259</v>
      </c>
      <c r="Z250" t="n">
        <v>221</v>
      </c>
      <c r="AA250" t="n">
        <v>223</v>
      </c>
      <c r="AB250" t="n">
        <v>2</v>
      </c>
      <c r="AC250" t="n">
        <v>2</v>
      </c>
      <c r="AD250" t="n">
        <v>10</v>
      </c>
      <c r="AE250" t="n">
        <v>10</v>
      </c>
      <c r="AF250" t="n">
        <v>2</v>
      </c>
      <c r="AG250" t="n">
        <v>2</v>
      </c>
      <c r="AH250" t="n">
        <v>2</v>
      </c>
      <c r="AI250" t="n">
        <v>2</v>
      </c>
      <c r="AJ250" t="n">
        <v>8</v>
      </c>
      <c r="AK250" t="n">
        <v>8</v>
      </c>
      <c r="AL250" t="n">
        <v>1</v>
      </c>
      <c r="AM250" t="n">
        <v>1</v>
      </c>
      <c r="AN250" t="n">
        <v>0</v>
      </c>
      <c r="AO250" t="n">
        <v>0</v>
      </c>
      <c r="AP250" t="inlineStr">
        <is>
          <t>No</t>
        </is>
      </c>
      <c r="AQ250" t="inlineStr">
        <is>
          <t>Yes</t>
        </is>
      </c>
      <c r="AR250">
        <f>HYPERLINK("http://catalog.hathitrust.org/Record/009932175","HathiTrust Record")</f>
        <v/>
      </c>
      <c r="AS250">
        <f>HYPERLINK("https://creighton-primo.hosted.exlibrisgroup.com/primo-explore/search?tab=default_tab&amp;search_scope=EVERYTHING&amp;vid=01CRU&amp;lang=en_US&amp;offset=0&amp;query=any,contains,991005356889702656","Catalog Record")</f>
        <v/>
      </c>
      <c r="AT250">
        <f>HYPERLINK("http://www.worldcat.org/oclc/802031","WorldCat Record")</f>
        <v/>
      </c>
      <c r="AU250" t="inlineStr">
        <is>
          <t>4924721893:ger</t>
        </is>
      </c>
      <c r="AV250" t="inlineStr">
        <is>
          <t>802031</t>
        </is>
      </c>
      <c r="AW250" t="inlineStr">
        <is>
          <t>991005356889702656</t>
        </is>
      </c>
      <c r="AX250" t="inlineStr">
        <is>
          <t>991005356889702656</t>
        </is>
      </c>
      <c r="AY250" t="inlineStr">
        <is>
          <t>2270552310002656</t>
        </is>
      </c>
      <c r="AZ250" t="inlineStr">
        <is>
          <t>BOOK</t>
        </is>
      </c>
      <c r="BC250" t="inlineStr">
        <is>
          <t>32285002790847</t>
        </is>
      </c>
      <c r="BD250" t="inlineStr">
        <is>
          <t>893520912</t>
        </is>
      </c>
    </row>
    <row r="251">
      <c r="A251" t="inlineStr">
        <is>
          <t>No</t>
        </is>
      </c>
      <c r="B251" t="inlineStr">
        <is>
          <t>QD151 .G52 NO. 47 PT. A2B</t>
        </is>
      </c>
      <c r="C251" t="inlineStr">
        <is>
          <t>0                      QD 0151000G  52                                                      NO. 47 PT. A2B</t>
        </is>
      </c>
      <c r="D251" t="inlineStr">
        <is>
          <t>Gmelins Handbuch der anorganischen chemie.</t>
        </is>
      </c>
      <c r="E251" t="inlineStr">
        <is>
          <t>NO. 47 PT. A2B*</t>
        </is>
      </c>
      <c r="F251" t="inlineStr">
        <is>
          <t>Yes</t>
        </is>
      </c>
      <c r="G251" t="inlineStr">
        <is>
          <t>1</t>
        </is>
      </c>
      <c r="H251" t="inlineStr">
        <is>
          <t>No</t>
        </is>
      </c>
      <c r="I251" t="inlineStr">
        <is>
          <t>No</t>
        </is>
      </c>
      <c r="J251" t="inlineStr">
        <is>
          <t>0</t>
        </is>
      </c>
      <c r="L251" t="inlineStr">
        <is>
          <t>Leipzig-Berlin, Verlag Chemie g.m.b.h., 1924-</t>
        </is>
      </c>
      <c r="M251" t="inlineStr">
        <is>
          <t>1924</t>
        </is>
      </c>
      <c r="N251" t="inlineStr">
        <is>
          <t>8. aufl. Hrsg. von der Deutschen chemischen gesellschaft, bearb. von R.J. Meyer, unter beratender mitwirkung von Franz Peters.</t>
        </is>
      </c>
      <c r="O251" t="inlineStr">
        <is>
          <t>ger</t>
        </is>
      </c>
      <c r="P251" t="inlineStr">
        <is>
          <t xml:space="preserve">xx </t>
        </is>
      </c>
      <c r="R251" t="inlineStr">
        <is>
          <t xml:space="preserve">QD </t>
        </is>
      </c>
      <c r="S251" t="n">
        <v>1</v>
      </c>
      <c r="T251" t="n">
        <v>324</v>
      </c>
      <c r="U251" t="inlineStr">
        <is>
          <t>1998-07-27</t>
        </is>
      </c>
      <c r="V251" t="inlineStr">
        <is>
          <t>1998-07-28</t>
        </is>
      </c>
      <c r="W251" t="inlineStr">
        <is>
          <t>1997-06-09</t>
        </is>
      </c>
      <c r="X251" t="inlineStr">
        <is>
          <t>1998-06-24</t>
        </is>
      </c>
      <c r="Y251" t="n">
        <v>259</v>
      </c>
      <c r="Z251" t="n">
        <v>221</v>
      </c>
      <c r="AA251" t="n">
        <v>223</v>
      </c>
      <c r="AB251" t="n">
        <v>2</v>
      </c>
      <c r="AC251" t="n">
        <v>2</v>
      </c>
      <c r="AD251" t="n">
        <v>10</v>
      </c>
      <c r="AE251" t="n">
        <v>10</v>
      </c>
      <c r="AF251" t="n">
        <v>2</v>
      </c>
      <c r="AG251" t="n">
        <v>2</v>
      </c>
      <c r="AH251" t="n">
        <v>2</v>
      </c>
      <c r="AI251" t="n">
        <v>2</v>
      </c>
      <c r="AJ251" t="n">
        <v>8</v>
      </c>
      <c r="AK251" t="n">
        <v>8</v>
      </c>
      <c r="AL251" t="n">
        <v>1</v>
      </c>
      <c r="AM251" t="n">
        <v>1</v>
      </c>
      <c r="AN251" t="n">
        <v>0</v>
      </c>
      <c r="AO251" t="n">
        <v>0</v>
      </c>
      <c r="AP251" t="inlineStr">
        <is>
          <t>No</t>
        </is>
      </c>
      <c r="AQ251" t="inlineStr">
        <is>
          <t>Yes</t>
        </is>
      </c>
      <c r="AR251">
        <f>HYPERLINK("http://catalog.hathitrust.org/Record/009932175","HathiTrust Record")</f>
        <v/>
      </c>
      <c r="AS251">
        <f>HYPERLINK("https://creighton-primo.hosted.exlibrisgroup.com/primo-explore/search?tab=default_tab&amp;search_scope=EVERYTHING&amp;vid=01CRU&amp;lang=en_US&amp;offset=0&amp;query=any,contains,991005356889702656","Catalog Record")</f>
        <v/>
      </c>
      <c r="AT251">
        <f>HYPERLINK("http://www.worldcat.org/oclc/802031","WorldCat Record")</f>
        <v/>
      </c>
      <c r="AU251" t="inlineStr">
        <is>
          <t>4924721893:ger</t>
        </is>
      </c>
      <c r="AV251" t="inlineStr">
        <is>
          <t>802031</t>
        </is>
      </c>
      <c r="AW251" t="inlineStr">
        <is>
          <t>991005356889702656</t>
        </is>
      </c>
      <c r="AX251" t="inlineStr">
        <is>
          <t>991005356889702656</t>
        </is>
      </c>
      <c r="AY251" t="inlineStr">
        <is>
          <t>2270552310002656</t>
        </is>
      </c>
      <c r="AZ251" t="inlineStr">
        <is>
          <t>BOOK</t>
        </is>
      </c>
      <c r="BC251" t="inlineStr">
        <is>
          <t>32285002790854</t>
        </is>
      </c>
      <c r="BD251" t="inlineStr">
        <is>
          <t>893508046</t>
        </is>
      </c>
    </row>
    <row r="252">
      <c r="A252" t="inlineStr">
        <is>
          <t>No</t>
        </is>
      </c>
      <c r="B252" t="inlineStr">
        <is>
          <t>QD151 .G52 NO. 47 PT. A2C</t>
        </is>
      </c>
      <c r="C252" t="inlineStr">
        <is>
          <t>0                      QD 0151000G  52                                                      NO. 47 PT. A2C</t>
        </is>
      </c>
      <c r="D252" t="inlineStr">
        <is>
          <t>Gmelins Handbuch der anorganischen chemie.</t>
        </is>
      </c>
      <c r="E252" t="inlineStr">
        <is>
          <t>NO. 47 PT. A2C*</t>
        </is>
      </c>
      <c r="F252" t="inlineStr">
        <is>
          <t>Yes</t>
        </is>
      </c>
      <c r="G252" t="inlineStr">
        <is>
          <t>1</t>
        </is>
      </c>
      <c r="H252" t="inlineStr">
        <is>
          <t>No</t>
        </is>
      </c>
      <c r="I252" t="inlineStr">
        <is>
          <t>No</t>
        </is>
      </c>
      <c r="J252" t="inlineStr">
        <is>
          <t>0</t>
        </is>
      </c>
      <c r="L252" t="inlineStr">
        <is>
          <t>Leipzig-Berlin, Verlag Chemie g.m.b.h., 1924-</t>
        </is>
      </c>
      <c r="M252" t="inlineStr">
        <is>
          <t>1924</t>
        </is>
      </c>
      <c r="N252" t="inlineStr">
        <is>
          <t>8. aufl. Hrsg. von der Deutschen chemischen gesellschaft, bearb. von R.J. Meyer, unter beratender mitwirkung von Franz Peters.</t>
        </is>
      </c>
      <c r="O252" t="inlineStr">
        <is>
          <t>ger</t>
        </is>
      </c>
      <c r="P252" t="inlineStr">
        <is>
          <t xml:space="preserve">xx </t>
        </is>
      </c>
      <c r="R252" t="inlineStr">
        <is>
          <t xml:space="preserve">QD </t>
        </is>
      </c>
      <c r="S252" t="n">
        <v>1</v>
      </c>
      <c r="T252" t="n">
        <v>324</v>
      </c>
      <c r="U252" t="inlineStr">
        <is>
          <t>1998-07-27</t>
        </is>
      </c>
      <c r="V252" t="inlineStr">
        <is>
          <t>1998-07-28</t>
        </is>
      </c>
      <c r="W252" t="inlineStr">
        <is>
          <t>1997-06-05</t>
        </is>
      </c>
      <c r="X252" t="inlineStr">
        <is>
          <t>1998-06-24</t>
        </is>
      </c>
      <c r="Y252" t="n">
        <v>259</v>
      </c>
      <c r="Z252" t="n">
        <v>221</v>
      </c>
      <c r="AA252" t="n">
        <v>223</v>
      </c>
      <c r="AB252" t="n">
        <v>2</v>
      </c>
      <c r="AC252" t="n">
        <v>2</v>
      </c>
      <c r="AD252" t="n">
        <v>10</v>
      </c>
      <c r="AE252" t="n">
        <v>10</v>
      </c>
      <c r="AF252" t="n">
        <v>2</v>
      </c>
      <c r="AG252" t="n">
        <v>2</v>
      </c>
      <c r="AH252" t="n">
        <v>2</v>
      </c>
      <c r="AI252" t="n">
        <v>2</v>
      </c>
      <c r="AJ252" t="n">
        <v>8</v>
      </c>
      <c r="AK252" t="n">
        <v>8</v>
      </c>
      <c r="AL252" t="n">
        <v>1</v>
      </c>
      <c r="AM252" t="n">
        <v>1</v>
      </c>
      <c r="AN252" t="n">
        <v>0</v>
      </c>
      <c r="AO252" t="n">
        <v>0</v>
      </c>
      <c r="AP252" t="inlineStr">
        <is>
          <t>No</t>
        </is>
      </c>
      <c r="AQ252" t="inlineStr">
        <is>
          <t>Yes</t>
        </is>
      </c>
      <c r="AR252">
        <f>HYPERLINK("http://catalog.hathitrust.org/Record/009932175","HathiTrust Record")</f>
        <v/>
      </c>
      <c r="AS252">
        <f>HYPERLINK("https://creighton-primo.hosted.exlibrisgroup.com/primo-explore/search?tab=default_tab&amp;search_scope=EVERYTHING&amp;vid=01CRU&amp;lang=en_US&amp;offset=0&amp;query=any,contains,991005356889702656","Catalog Record")</f>
        <v/>
      </c>
      <c r="AT252">
        <f>HYPERLINK("http://www.worldcat.org/oclc/802031","WorldCat Record")</f>
        <v/>
      </c>
      <c r="AU252" t="inlineStr">
        <is>
          <t>4924721893:ger</t>
        </is>
      </c>
      <c r="AV252" t="inlineStr">
        <is>
          <t>802031</t>
        </is>
      </c>
      <c r="AW252" t="inlineStr">
        <is>
          <t>991005356889702656</t>
        </is>
      </c>
      <c r="AX252" t="inlineStr">
        <is>
          <t>991005356889702656</t>
        </is>
      </c>
      <c r="AY252" t="inlineStr">
        <is>
          <t>2270552310002656</t>
        </is>
      </c>
      <c r="AZ252" t="inlineStr">
        <is>
          <t>BOOK</t>
        </is>
      </c>
      <c r="BC252" t="inlineStr">
        <is>
          <t>32285002790862</t>
        </is>
      </c>
      <c r="BD252" t="inlineStr">
        <is>
          <t>893501763</t>
        </is>
      </c>
    </row>
    <row r="253">
      <c r="A253" t="inlineStr">
        <is>
          <t>No</t>
        </is>
      </c>
      <c r="B253" t="inlineStr">
        <is>
          <t>QD151 .G52 NO. 47 PT. A3</t>
        </is>
      </c>
      <c r="C253" t="inlineStr">
        <is>
          <t>0                      QD 0151000G  52                                                      NO. 47 PT. A3</t>
        </is>
      </c>
      <c r="D253" t="inlineStr">
        <is>
          <t>Gmelins Handbuch der anorganischen chemie.</t>
        </is>
      </c>
      <c r="E253" t="inlineStr">
        <is>
          <t>NO. 47 PT. A3*</t>
        </is>
      </c>
      <c r="F253" t="inlineStr">
        <is>
          <t>Yes</t>
        </is>
      </c>
      <c r="G253" t="inlineStr">
        <is>
          <t>1</t>
        </is>
      </c>
      <c r="H253" t="inlineStr">
        <is>
          <t>No</t>
        </is>
      </c>
      <c r="I253" t="inlineStr">
        <is>
          <t>No</t>
        </is>
      </c>
      <c r="J253" t="inlineStr">
        <is>
          <t>0</t>
        </is>
      </c>
      <c r="L253" t="inlineStr">
        <is>
          <t>Leipzig-Berlin, Verlag Chemie g.m.b.h., 1924-</t>
        </is>
      </c>
      <c r="M253" t="inlineStr">
        <is>
          <t>1924</t>
        </is>
      </c>
      <c r="N253" t="inlineStr">
        <is>
          <t>8. aufl. Hrsg. von der Deutschen chemischen gesellschaft, bearb. von R.J. Meyer, unter beratender mitwirkung von Franz Peters.</t>
        </is>
      </c>
      <c r="O253" t="inlineStr">
        <is>
          <t>ger</t>
        </is>
      </c>
      <c r="P253" t="inlineStr">
        <is>
          <t xml:space="preserve">xx </t>
        </is>
      </c>
      <c r="R253" t="inlineStr">
        <is>
          <t xml:space="preserve">QD </t>
        </is>
      </c>
      <c r="S253" t="n">
        <v>1</v>
      </c>
      <c r="T253" t="n">
        <v>324</v>
      </c>
      <c r="U253" t="inlineStr">
        <is>
          <t>1998-07-27</t>
        </is>
      </c>
      <c r="V253" t="inlineStr">
        <is>
          <t>1998-07-28</t>
        </is>
      </c>
      <c r="W253" t="inlineStr">
        <is>
          <t>1997-06-05</t>
        </is>
      </c>
      <c r="X253" t="inlineStr">
        <is>
          <t>1998-06-24</t>
        </is>
      </c>
      <c r="Y253" t="n">
        <v>259</v>
      </c>
      <c r="Z253" t="n">
        <v>221</v>
      </c>
      <c r="AA253" t="n">
        <v>223</v>
      </c>
      <c r="AB253" t="n">
        <v>2</v>
      </c>
      <c r="AC253" t="n">
        <v>2</v>
      </c>
      <c r="AD253" t="n">
        <v>10</v>
      </c>
      <c r="AE253" t="n">
        <v>10</v>
      </c>
      <c r="AF253" t="n">
        <v>2</v>
      </c>
      <c r="AG253" t="n">
        <v>2</v>
      </c>
      <c r="AH253" t="n">
        <v>2</v>
      </c>
      <c r="AI253" t="n">
        <v>2</v>
      </c>
      <c r="AJ253" t="n">
        <v>8</v>
      </c>
      <c r="AK253" t="n">
        <v>8</v>
      </c>
      <c r="AL253" t="n">
        <v>1</v>
      </c>
      <c r="AM253" t="n">
        <v>1</v>
      </c>
      <c r="AN253" t="n">
        <v>0</v>
      </c>
      <c r="AO253" t="n">
        <v>0</v>
      </c>
      <c r="AP253" t="inlineStr">
        <is>
          <t>No</t>
        </is>
      </c>
      <c r="AQ253" t="inlineStr">
        <is>
          <t>Yes</t>
        </is>
      </c>
      <c r="AR253">
        <f>HYPERLINK("http://catalog.hathitrust.org/Record/009932175","HathiTrust Record")</f>
        <v/>
      </c>
      <c r="AS253">
        <f>HYPERLINK("https://creighton-primo.hosted.exlibrisgroup.com/primo-explore/search?tab=default_tab&amp;search_scope=EVERYTHING&amp;vid=01CRU&amp;lang=en_US&amp;offset=0&amp;query=any,contains,991005356889702656","Catalog Record")</f>
        <v/>
      </c>
      <c r="AT253">
        <f>HYPERLINK("http://www.worldcat.org/oclc/802031","WorldCat Record")</f>
        <v/>
      </c>
      <c r="AU253" t="inlineStr">
        <is>
          <t>4924721893:ger</t>
        </is>
      </c>
      <c r="AV253" t="inlineStr">
        <is>
          <t>802031</t>
        </is>
      </c>
      <c r="AW253" t="inlineStr">
        <is>
          <t>991005356889702656</t>
        </is>
      </c>
      <c r="AX253" t="inlineStr">
        <is>
          <t>991005356889702656</t>
        </is>
      </c>
      <c r="AY253" t="inlineStr">
        <is>
          <t>2270552310002656</t>
        </is>
      </c>
      <c r="AZ253" t="inlineStr">
        <is>
          <t>BOOK</t>
        </is>
      </c>
      <c r="BC253" t="inlineStr">
        <is>
          <t>32285002790870</t>
        </is>
      </c>
      <c r="BD253" t="inlineStr">
        <is>
          <t>893533627</t>
        </is>
      </c>
    </row>
    <row r="254">
      <c r="A254" t="inlineStr">
        <is>
          <t>No</t>
        </is>
      </c>
      <c r="B254" t="inlineStr">
        <is>
          <t>QD151 .G52 NO. 47 PT. A4</t>
        </is>
      </c>
      <c r="C254" t="inlineStr">
        <is>
          <t>0                      QD 0151000G  52                                                      NO. 47 PT. A4</t>
        </is>
      </c>
      <c r="D254" t="inlineStr">
        <is>
          <t>Gmelins Handbuch der anorganischen chemie.</t>
        </is>
      </c>
      <c r="E254" t="inlineStr">
        <is>
          <t>NO. 47 PT. A4*</t>
        </is>
      </c>
      <c r="F254" t="inlineStr">
        <is>
          <t>Yes</t>
        </is>
      </c>
      <c r="G254" t="inlineStr">
        <is>
          <t>1</t>
        </is>
      </c>
      <c r="H254" t="inlineStr">
        <is>
          <t>No</t>
        </is>
      </c>
      <c r="I254" t="inlineStr">
        <is>
          <t>No</t>
        </is>
      </c>
      <c r="J254" t="inlineStr">
        <is>
          <t>0</t>
        </is>
      </c>
      <c r="L254" t="inlineStr">
        <is>
          <t>Leipzig-Berlin, Verlag Chemie g.m.b.h., 1924-</t>
        </is>
      </c>
      <c r="M254" t="inlineStr">
        <is>
          <t>1924</t>
        </is>
      </c>
      <c r="N254" t="inlineStr">
        <is>
          <t>8. aufl. Hrsg. von der Deutschen chemischen gesellschaft, bearb. von R.J. Meyer, unter beratender mitwirkung von Franz Peters.</t>
        </is>
      </c>
      <c r="O254" t="inlineStr">
        <is>
          <t>ger</t>
        </is>
      </c>
      <c r="P254" t="inlineStr">
        <is>
          <t xml:space="preserve">xx </t>
        </is>
      </c>
      <c r="R254" t="inlineStr">
        <is>
          <t xml:space="preserve">QD </t>
        </is>
      </c>
      <c r="S254" t="n">
        <v>1</v>
      </c>
      <c r="T254" t="n">
        <v>324</v>
      </c>
      <c r="U254" t="inlineStr">
        <is>
          <t>1998-07-27</t>
        </is>
      </c>
      <c r="V254" t="inlineStr">
        <is>
          <t>1998-07-28</t>
        </is>
      </c>
      <c r="W254" t="inlineStr">
        <is>
          <t>1997-06-05</t>
        </is>
      </c>
      <c r="X254" t="inlineStr">
        <is>
          <t>1998-06-24</t>
        </is>
      </c>
      <c r="Y254" t="n">
        <v>259</v>
      </c>
      <c r="Z254" t="n">
        <v>221</v>
      </c>
      <c r="AA254" t="n">
        <v>223</v>
      </c>
      <c r="AB254" t="n">
        <v>2</v>
      </c>
      <c r="AC254" t="n">
        <v>2</v>
      </c>
      <c r="AD254" t="n">
        <v>10</v>
      </c>
      <c r="AE254" t="n">
        <v>10</v>
      </c>
      <c r="AF254" t="n">
        <v>2</v>
      </c>
      <c r="AG254" t="n">
        <v>2</v>
      </c>
      <c r="AH254" t="n">
        <v>2</v>
      </c>
      <c r="AI254" t="n">
        <v>2</v>
      </c>
      <c r="AJ254" t="n">
        <v>8</v>
      </c>
      <c r="AK254" t="n">
        <v>8</v>
      </c>
      <c r="AL254" t="n">
        <v>1</v>
      </c>
      <c r="AM254" t="n">
        <v>1</v>
      </c>
      <c r="AN254" t="n">
        <v>0</v>
      </c>
      <c r="AO254" t="n">
        <v>0</v>
      </c>
      <c r="AP254" t="inlineStr">
        <is>
          <t>No</t>
        </is>
      </c>
      <c r="AQ254" t="inlineStr">
        <is>
          <t>Yes</t>
        </is>
      </c>
      <c r="AR254">
        <f>HYPERLINK("http://catalog.hathitrust.org/Record/009932175","HathiTrust Record")</f>
        <v/>
      </c>
      <c r="AS254">
        <f>HYPERLINK("https://creighton-primo.hosted.exlibrisgroup.com/primo-explore/search?tab=default_tab&amp;search_scope=EVERYTHING&amp;vid=01CRU&amp;lang=en_US&amp;offset=0&amp;query=any,contains,991005356889702656","Catalog Record")</f>
        <v/>
      </c>
      <c r="AT254">
        <f>HYPERLINK("http://www.worldcat.org/oclc/802031","WorldCat Record")</f>
        <v/>
      </c>
      <c r="AU254" t="inlineStr">
        <is>
          <t>4924721893:ger</t>
        </is>
      </c>
      <c r="AV254" t="inlineStr">
        <is>
          <t>802031</t>
        </is>
      </c>
      <c r="AW254" t="inlineStr">
        <is>
          <t>991005356889702656</t>
        </is>
      </c>
      <c r="AX254" t="inlineStr">
        <is>
          <t>991005356889702656</t>
        </is>
      </c>
      <c r="AY254" t="inlineStr">
        <is>
          <t>2270552310002656</t>
        </is>
      </c>
      <c r="AZ254" t="inlineStr">
        <is>
          <t>BOOK</t>
        </is>
      </c>
      <c r="BC254" t="inlineStr">
        <is>
          <t>32285002790888</t>
        </is>
      </c>
      <c r="BD254" t="inlineStr">
        <is>
          <t>893527406</t>
        </is>
      </c>
    </row>
    <row r="255">
      <c r="A255" t="inlineStr">
        <is>
          <t>No</t>
        </is>
      </c>
      <c r="B255" t="inlineStr">
        <is>
          <t>QD151 .G52 NO. 47 PT. B1</t>
        </is>
      </c>
      <c r="C255" t="inlineStr">
        <is>
          <t>0                      QD 0151000G  52                                                      NO. 47 PT. B1</t>
        </is>
      </c>
      <c r="D255" t="inlineStr">
        <is>
          <t>Gmelins Handbuch der anorganischen chemie.</t>
        </is>
      </c>
      <c r="E255" t="inlineStr">
        <is>
          <t>NO. 47 PT. B1*</t>
        </is>
      </c>
      <c r="F255" t="inlineStr">
        <is>
          <t>Yes</t>
        </is>
      </c>
      <c r="G255" t="inlineStr">
        <is>
          <t>1</t>
        </is>
      </c>
      <c r="H255" t="inlineStr">
        <is>
          <t>No</t>
        </is>
      </c>
      <c r="I255" t="inlineStr">
        <is>
          <t>No</t>
        </is>
      </c>
      <c r="J255" t="inlineStr">
        <is>
          <t>0</t>
        </is>
      </c>
      <c r="L255" t="inlineStr">
        <is>
          <t>Leipzig-Berlin, Verlag Chemie g.m.b.h., 1924-</t>
        </is>
      </c>
      <c r="M255" t="inlineStr">
        <is>
          <t>1924</t>
        </is>
      </c>
      <c r="N255" t="inlineStr">
        <is>
          <t>8. aufl. Hrsg. von der Deutschen chemischen gesellschaft, bearb. von R.J. Meyer, unter beratender mitwirkung von Franz Peters.</t>
        </is>
      </c>
      <c r="O255" t="inlineStr">
        <is>
          <t>ger</t>
        </is>
      </c>
      <c r="P255" t="inlineStr">
        <is>
          <t xml:space="preserve">xx </t>
        </is>
      </c>
      <c r="R255" t="inlineStr">
        <is>
          <t xml:space="preserve">QD </t>
        </is>
      </c>
      <c r="S255" t="n">
        <v>1</v>
      </c>
      <c r="T255" t="n">
        <v>324</v>
      </c>
      <c r="U255" t="inlineStr">
        <is>
          <t>1998-07-27</t>
        </is>
      </c>
      <c r="V255" t="inlineStr">
        <is>
          <t>1998-07-28</t>
        </is>
      </c>
      <c r="W255" t="inlineStr">
        <is>
          <t>1997-06-05</t>
        </is>
      </c>
      <c r="X255" t="inlineStr">
        <is>
          <t>1998-06-24</t>
        </is>
      </c>
      <c r="Y255" t="n">
        <v>259</v>
      </c>
      <c r="Z255" t="n">
        <v>221</v>
      </c>
      <c r="AA255" t="n">
        <v>223</v>
      </c>
      <c r="AB255" t="n">
        <v>2</v>
      </c>
      <c r="AC255" t="n">
        <v>2</v>
      </c>
      <c r="AD255" t="n">
        <v>10</v>
      </c>
      <c r="AE255" t="n">
        <v>10</v>
      </c>
      <c r="AF255" t="n">
        <v>2</v>
      </c>
      <c r="AG255" t="n">
        <v>2</v>
      </c>
      <c r="AH255" t="n">
        <v>2</v>
      </c>
      <c r="AI255" t="n">
        <v>2</v>
      </c>
      <c r="AJ255" t="n">
        <v>8</v>
      </c>
      <c r="AK255" t="n">
        <v>8</v>
      </c>
      <c r="AL255" t="n">
        <v>1</v>
      </c>
      <c r="AM255" t="n">
        <v>1</v>
      </c>
      <c r="AN255" t="n">
        <v>0</v>
      </c>
      <c r="AO255" t="n">
        <v>0</v>
      </c>
      <c r="AP255" t="inlineStr">
        <is>
          <t>No</t>
        </is>
      </c>
      <c r="AQ255" t="inlineStr">
        <is>
          <t>Yes</t>
        </is>
      </c>
      <c r="AR255">
        <f>HYPERLINK("http://catalog.hathitrust.org/Record/009932175","HathiTrust Record")</f>
        <v/>
      </c>
      <c r="AS255">
        <f>HYPERLINK("https://creighton-primo.hosted.exlibrisgroup.com/primo-explore/search?tab=default_tab&amp;search_scope=EVERYTHING&amp;vid=01CRU&amp;lang=en_US&amp;offset=0&amp;query=any,contains,991005356889702656","Catalog Record")</f>
        <v/>
      </c>
      <c r="AT255">
        <f>HYPERLINK("http://www.worldcat.org/oclc/802031","WorldCat Record")</f>
        <v/>
      </c>
      <c r="AU255" t="inlineStr">
        <is>
          <t>4924721893:ger</t>
        </is>
      </c>
      <c r="AV255" t="inlineStr">
        <is>
          <t>802031</t>
        </is>
      </c>
      <c r="AW255" t="inlineStr">
        <is>
          <t>991005356889702656</t>
        </is>
      </c>
      <c r="AX255" t="inlineStr">
        <is>
          <t>991005356889702656</t>
        </is>
      </c>
      <c r="AY255" t="inlineStr">
        <is>
          <t>2270552310002656</t>
        </is>
      </c>
      <c r="AZ255" t="inlineStr">
        <is>
          <t>BOOK</t>
        </is>
      </c>
      <c r="BC255" t="inlineStr">
        <is>
          <t>32285002790896</t>
        </is>
      </c>
      <c r="BD255" t="inlineStr">
        <is>
          <t>893527387</t>
        </is>
      </c>
    </row>
    <row r="256">
      <c r="A256" t="inlineStr">
        <is>
          <t>No</t>
        </is>
      </c>
      <c r="B256" t="inlineStr">
        <is>
          <t>QD151 .G52 NO. 47 PT. B2</t>
        </is>
      </c>
      <c r="C256" t="inlineStr">
        <is>
          <t>0                      QD 0151000G  52                                                      NO. 47 PT. B2</t>
        </is>
      </c>
      <c r="D256" t="inlineStr">
        <is>
          <t>Gmelins Handbuch der anorganischen chemie.</t>
        </is>
      </c>
      <c r="E256" t="inlineStr">
        <is>
          <t>NO. 47 PT. B2*</t>
        </is>
      </c>
      <c r="F256" t="inlineStr">
        <is>
          <t>Yes</t>
        </is>
      </c>
      <c r="G256" t="inlineStr">
        <is>
          <t>1</t>
        </is>
      </c>
      <c r="H256" t="inlineStr">
        <is>
          <t>No</t>
        </is>
      </c>
      <c r="I256" t="inlineStr">
        <is>
          <t>No</t>
        </is>
      </c>
      <c r="J256" t="inlineStr">
        <is>
          <t>0</t>
        </is>
      </c>
      <c r="L256" t="inlineStr">
        <is>
          <t>Leipzig-Berlin, Verlag Chemie g.m.b.h., 1924-</t>
        </is>
      </c>
      <c r="M256" t="inlineStr">
        <is>
          <t>1924</t>
        </is>
      </c>
      <c r="N256" t="inlineStr">
        <is>
          <t>8. aufl. Hrsg. von der Deutschen chemischen gesellschaft, bearb. von R.J. Meyer, unter beratender mitwirkung von Franz Peters.</t>
        </is>
      </c>
      <c r="O256" t="inlineStr">
        <is>
          <t>ger</t>
        </is>
      </c>
      <c r="P256" t="inlineStr">
        <is>
          <t xml:space="preserve">xx </t>
        </is>
      </c>
      <c r="R256" t="inlineStr">
        <is>
          <t xml:space="preserve">QD </t>
        </is>
      </c>
      <c r="S256" t="n">
        <v>1</v>
      </c>
      <c r="T256" t="n">
        <v>324</v>
      </c>
      <c r="U256" t="inlineStr">
        <is>
          <t>1998-07-27</t>
        </is>
      </c>
      <c r="V256" t="inlineStr">
        <is>
          <t>1998-07-28</t>
        </is>
      </c>
      <c r="W256" t="inlineStr">
        <is>
          <t>1997-06-05</t>
        </is>
      </c>
      <c r="X256" t="inlineStr">
        <is>
          <t>1998-06-24</t>
        </is>
      </c>
      <c r="Y256" t="n">
        <v>259</v>
      </c>
      <c r="Z256" t="n">
        <v>221</v>
      </c>
      <c r="AA256" t="n">
        <v>223</v>
      </c>
      <c r="AB256" t="n">
        <v>2</v>
      </c>
      <c r="AC256" t="n">
        <v>2</v>
      </c>
      <c r="AD256" t="n">
        <v>10</v>
      </c>
      <c r="AE256" t="n">
        <v>10</v>
      </c>
      <c r="AF256" t="n">
        <v>2</v>
      </c>
      <c r="AG256" t="n">
        <v>2</v>
      </c>
      <c r="AH256" t="n">
        <v>2</v>
      </c>
      <c r="AI256" t="n">
        <v>2</v>
      </c>
      <c r="AJ256" t="n">
        <v>8</v>
      </c>
      <c r="AK256" t="n">
        <v>8</v>
      </c>
      <c r="AL256" t="n">
        <v>1</v>
      </c>
      <c r="AM256" t="n">
        <v>1</v>
      </c>
      <c r="AN256" t="n">
        <v>0</v>
      </c>
      <c r="AO256" t="n">
        <v>0</v>
      </c>
      <c r="AP256" t="inlineStr">
        <is>
          <t>No</t>
        </is>
      </c>
      <c r="AQ256" t="inlineStr">
        <is>
          <t>Yes</t>
        </is>
      </c>
      <c r="AR256">
        <f>HYPERLINK("http://catalog.hathitrust.org/Record/009932175","HathiTrust Record")</f>
        <v/>
      </c>
      <c r="AS256">
        <f>HYPERLINK("https://creighton-primo.hosted.exlibrisgroup.com/primo-explore/search?tab=default_tab&amp;search_scope=EVERYTHING&amp;vid=01CRU&amp;lang=en_US&amp;offset=0&amp;query=any,contains,991005356889702656","Catalog Record")</f>
        <v/>
      </c>
      <c r="AT256">
        <f>HYPERLINK("http://www.worldcat.org/oclc/802031","WorldCat Record")</f>
        <v/>
      </c>
      <c r="AU256" t="inlineStr">
        <is>
          <t>4924721893:ger</t>
        </is>
      </c>
      <c r="AV256" t="inlineStr">
        <is>
          <t>802031</t>
        </is>
      </c>
      <c r="AW256" t="inlineStr">
        <is>
          <t>991005356889702656</t>
        </is>
      </c>
      <c r="AX256" t="inlineStr">
        <is>
          <t>991005356889702656</t>
        </is>
      </c>
      <c r="AY256" t="inlineStr">
        <is>
          <t>2270552310002656</t>
        </is>
      </c>
      <c r="AZ256" t="inlineStr">
        <is>
          <t>BOOK</t>
        </is>
      </c>
      <c r="BC256" t="inlineStr">
        <is>
          <t>32285002790904</t>
        </is>
      </c>
      <c r="BD256" t="inlineStr">
        <is>
          <t>893527386</t>
        </is>
      </c>
    </row>
    <row r="257">
      <c r="A257" t="inlineStr">
        <is>
          <t>No</t>
        </is>
      </c>
      <c r="B257" t="inlineStr">
        <is>
          <t>QD151 .G52 NO. 47 PT. C1</t>
        </is>
      </c>
      <c r="C257" t="inlineStr">
        <is>
          <t>0                      QD 0151000G  52                                                      NO. 47 PT. C1</t>
        </is>
      </c>
      <c r="D257" t="inlineStr">
        <is>
          <t>Gmelins Handbuch der anorganischen chemie.</t>
        </is>
      </c>
      <c r="E257" t="inlineStr">
        <is>
          <t>NO. 47 PT. C1*</t>
        </is>
      </c>
      <c r="F257" t="inlineStr">
        <is>
          <t>Yes</t>
        </is>
      </c>
      <c r="G257" t="inlineStr">
        <is>
          <t>1</t>
        </is>
      </c>
      <c r="H257" t="inlineStr">
        <is>
          <t>No</t>
        </is>
      </c>
      <c r="I257" t="inlineStr">
        <is>
          <t>No</t>
        </is>
      </c>
      <c r="J257" t="inlineStr">
        <is>
          <t>0</t>
        </is>
      </c>
      <c r="L257" t="inlineStr">
        <is>
          <t>Leipzig-Berlin, Verlag Chemie g.m.b.h., 1924-</t>
        </is>
      </c>
      <c r="M257" t="inlineStr">
        <is>
          <t>1924</t>
        </is>
      </c>
      <c r="N257" t="inlineStr">
        <is>
          <t>8. aufl. Hrsg. von der Deutschen chemischen gesellschaft, bearb. von R.J. Meyer, unter beratender mitwirkung von Franz Peters.</t>
        </is>
      </c>
      <c r="O257" t="inlineStr">
        <is>
          <t>ger</t>
        </is>
      </c>
      <c r="P257" t="inlineStr">
        <is>
          <t xml:space="preserve">xx </t>
        </is>
      </c>
      <c r="R257" t="inlineStr">
        <is>
          <t xml:space="preserve">QD </t>
        </is>
      </c>
      <c r="S257" t="n">
        <v>1</v>
      </c>
      <c r="T257" t="n">
        <v>324</v>
      </c>
      <c r="U257" t="inlineStr">
        <is>
          <t>1998-07-27</t>
        </is>
      </c>
      <c r="V257" t="inlineStr">
        <is>
          <t>1998-07-28</t>
        </is>
      </c>
      <c r="W257" t="inlineStr">
        <is>
          <t>1997-06-05</t>
        </is>
      </c>
      <c r="X257" t="inlineStr">
        <is>
          <t>1998-06-24</t>
        </is>
      </c>
      <c r="Y257" t="n">
        <v>259</v>
      </c>
      <c r="Z257" t="n">
        <v>221</v>
      </c>
      <c r="AA257" t="n">
        <v>223</v>
      </c>
      <c r="AB257" t="n">
        <v>2</v>
      </c>
      <c r="AC257" t="n">
        <v>2</v>
      </c>
      <c r="AD257" t="n">
        <v>10</v>
      </c>
      <c r="AE257" t="n">
        <v>10</v>
      </c>
      <c r="AF257" t="n">
        <v>2</v>
      </c>
      <c r="AG257" t="n">
        <v>2</v>
      </c>
      <c r="AH257" t="n">
        <v>2</v>
      </c>
      <c r="AI257" t="n">
        <v>2</v>
      </c>
      <c r="AJ257" t="n">
        <v>8</v>
      </c>
      <c r="AK257" t="n">
        <v>8</v>
      </c>
      <c r="AL257" t="n">
        <v>1</v>
      </c>
      <c r="AM257" t="n">
        <v>1</v>
      </c>
      <c r="AN257" t="n">
        <v>0</v>
      </c>
      <c r="AO257" t="n">
        <v>0</v>
      </c>
      <c r="AP257" t="inlineStr">
        <is>
          <t>No</t>
        </is>
      </c>
      <c r="AQ257" t="inlineStr">
        <is>
          <t>Yes</t>
        </is>
      </c>
      <c r="AR257">
        <f>HYPERLINK("http://catalog.hathitrust.org/Record/009932175","HathiTrust Record")</f>
        <v/>
      </c>
      <c r="AS257">
        <f>HYPERLINK("https://creighton-primo.hosted.exlibrisgroup.com/primo-explore/search?tab=default_tab&amp;search_scope=EVERYTHING&amp;vid=01CRU&amp;lang=en_US&amp;offset=0&amp;query=any,contains,991005356889702656","Catalog Record")</f>
        <v/>
      </c>
      <c r="AT257">
        <f>HYPERLINK("http://www.worldcat.org/oclc/802031","WorldCat Record")</f>
        <v/>
      </c>
      <c r="AU257" t="inlineStr">
        <is>
          <t>4924721893:ger</t>
        </is>
      </c>
      <c r="AV257" t="inlineStr">
        <is>
          <t>802031</t>
        </is>
      </c>
      <c r="AW257" t="inlineStr">
        <is>
          <t>991005356889702656</t>
        </is>
      </c>
      <c r="AX257" t="inlineStr">
        <is>
          <t>991005356889702656</t>
        </is>
      </c>
      <c r="AY257" t="inlineStr">
        <is>
          <t>2270552310002656</t>
        </is>
      </c>
      <c r="AZ257" t="inlineStr">
        <is>
          <t>BOOK</t>
        </is>
      </c>
      <c r="BC257" t="inlineStr">
        <is>
          <t>32285002790912</t>
        </is>
      </c>
      <c r="BD257" t="inlineStr">
        <is>
          <t>893533626</t>
        </is>
      </c>
    </row>
    <row r="258">
      <c r="A258" t="inlineStr">
        <is>
          <t>No</t>
        </is>
      </c>
      <c r="B258" t="inlineStr">
        <is>
          <t>QD151 .G52 NO. 47 PT. C2</t>
        </is>
      </c>
      <c r="C258" t="inlineStr">
        <is>
          <t>0                      QD 0151000G  52                                                      NO. 47 PT. C2</t>
        </is>
      </c>
      <c r="D258" t="inlineStr">
        <is>
          <t>Gmelins Handbuch der anorganischen chemie.</t>
        </is>
      </c>
      <c r="E258" t="inlineStr">
        <is>
          <t>NO. 47 PT. C2*</t>
        </is>
      </c>
      <c r="F258" t="inlineStr">
        <is>
          <t>Yes</t>
        </is>
      </c>
      <c r="G258" t="inlineStr">
        <is>
          <t>1</t>
        </is>
      </c>
      <c r="H258" t="inlineStr">
        <is>
          <t>No</t>
        </is>
      </c>
      <c r="I258" t="inlineStr">
        <is>
          <t>No</t>
        </is>
      </c>
      <c r="J258" t="inlineStr">
        <is>
          <t>0</t>
        </is>
      </c>
      <c r="L258" t="inlineStr">
        <is>
          <t>Leipzig-Berlin, Verlag Chemie g.m.b.h., 1924-</t>
        </is>
      </c>
      <c r="M258" t="inlineStr">
        <is>
          <t>1924</t>
        </is>
      </c>
      <c r="N258" t="inlineStr">
        <is>
          <t>8. aufl. Hrsg. von der Deutschen chemischen gesellschaft, bearb. von R.J. Meyer, unter beratender mitwirkung von Franz Peters.</t>
        </is>
      </c>
      <c r="O258" t="inlineStr">
        <is>
          <t>ger</t>
        </is>
      </c>
      <c r="P258" t="inlineStr">
        <is>
          <t xml:space="preserve">xx </t>
        </is>
      </c>
      <c r="R258" t="inlineStr">
        <is>
          <t xml:space="preserve">QD </t>
        </is>
      </c>
      <c r="S258" t="n">
        <v>1</v>
      </c>
      <c r="T258" t="n">
        <v>324</v>
      </c>
      <c r="U258" t="inlineStr">
        <is>
          <t>1998-07-27</t>
        </is>
      </c>
      <c r="V258" t="inlineStr">
        <is>
          <t>1998-07-28</t>
        </is>
      </c>
      <c r="W258" t="inlineStr">
        <is>
          <t>1997-06-05</t>
        </is>
      </c>
      <c r="X258" t="inlineStr">
        <is>
          <t>1998-06-24</t>
        </is>
      </c>
      <c r="Y258" t="n">
        <v>259</v>
      </c>
      <c r="Z258" t="n">
        <v>221</v>
      </c>
      <c r="AA258" t="n">
        <v>223</v>
      </c>
      <c r="AB258" t="n">
        <v>2</v>
      </c>
      <c r="AC258" t="n">
        <v>2</v>
      </c>
      <c r="AD258" t="n">
        <v>10</v>
      </c>
      <c r="AE258" t="n">
        <v>10</v>
      </c>
      <c r="AF258" t="n">
        <v>2</v>
      </c>
      <c r="AG258" t="n">
        <v>2</v>
      </c>
      <c r="AH258" t="n">
        <v>2</v>
      </c>
      <c r="AI258" t="n">
        <v>2</v>
      </c>
      <c r="AJ258" t="n">
        <v>8</v>
      </c>
      <c r="AK258" t="n">
        <v>8</v>
      </c>
      <c r="AL258" t="n">
        <v>1</v>
      </c>
      <c r="AM258" t="n">
        <v>1</v>
      </c>
      <c r="AN258" t="n">
        <v>0</v>
      </c>
      <c r="AO258" t="n">
        <v>0</v>
      </c>
      <c r="AP258" t="inlineStr">
        <is>
          <t>No</t>
        </is>
      </c>
      <c r="AQ258" t="inlineStr">
        <is>
          <t>Yes</t>
        </is>
      </c>
      <c r="AR258">
        <f>HYPERLINK("http://catalog.hathitrust.org/Record/009932175","HathiTrust Record")</f>
        <v/>
      </c>
      <c r="AS258">
        <f>HYPERLINK("https://creighton-primo.hosted.exlibrisgroup.com/primo-explore/search?tab=default_tab&amp;search_scope=EVERYTHING&amp;vid=01CRU&amp;lang=en_US&amp;offset=0&amp;query=any,contains,991005356889702656","Catalog Record")</f>
        <v/>
      </c>
      <c r="AT258">
        <f>HYPERLINK("http://www.worldcat.org/oclc/802031","WorldCat Record")</f>
        <v/>
      </c>
      <c r="AU258" t="inlineStr">
        <is>
          <t>4924721893:ger</t>
        </is>
      </c>
      <c r="AV258" t="inlineStr">
        <is>
          <t>802031</t>
        </is>
      </c>
      <c r="AW258" t="inlineStr">
        <is>
          <t>991005356889702656</t>
        </is>
      </c>
      <c r="AX258" t="inlineStr">
        <is>
          <t>991005356889702656</t>
        </is>
      </c>
      <c r="AY258" t="inlineStr">
        <is>
          <t>2270552310002656</t>
        </is>
      </c>
      <c r="AZ258" t="inlineStr">
        <is>
          <t>BOOK</t>
        </is>
      </c>
      <c r="BC258" t="inlineStr">
        <is>
          <t>32285002790920</t>
        </is>
      </c>
      <c r="BD258" t="inlineStr">
        <is>
          <t>893527405</t>
        </is>
      </c>
    </row>
    <row r="259">
      <c r="A259" t="inlineStr">
        <is>
          <t>No</t>
        </is>
      </c>
      <c r="B259" t="inlineStr">
        <is>
          <t>QD151 .G52 NO. 47 PT. C4</t>
        </is>
      </c>
      <c r="C259" t="inlineStr">
        <is>
          <t>0                      QD 0151000G  52                                                      NO. 47 PT. C4</t>
        </is>
      </c>
      <c r="D259" t="inlineStr">
        <is>
          <t>Gmelins Handbuch der anorganischen chemie.</t>
        </is>
      </c>
      <c r="E259" t="inlineStr">
        <is>
          <t>NO. 47 PT. C4*</t>
        </is>
      </c>
      <c r="F259" t="inlineStr">
        <is>
          <t>Yes</t>
        </is>
      </c>
      <c r="G259" t="inlineStr">
        <is>
          <t>1</t>
        </is>
      </c>
      <c r="H259" t="inlineStr">
        <is>
          <t>No</t>
        </is>
      </c>
      <c r="I259" t="inlineStr">
        <is>
          <t>No</t>
        </is>
      </c>
      <c r="J259" t="inlineStr">
        <is>
          <t>0</t>
        </is>
      </c>
      <c r="L259" t="inlineStr">
        <is>
          <t>Leipzig-Berlin, Verlag Chemie g.m.b.h., 1924-</t>
        </is>
      </c>
      <c r="M259" t="inlineStr">
        <is>
          <t>1924</t>
        </is>
      </c>
      <c r="N259" t="inlineStr">
        <is>
          <t>8. aufl. Hrsg. von der Deutschen chemischen gesellschaft, bearb. von R.J. Meyer, unter beratender mitwirkung von Franz Peters.</t>
        </is>
      </c>
      <c r="O259" t="inlineStr">
        <is>
          <t>ger</t>
        </is>
      </c>
      <c r="P259" t="inlineStr">
        <is>
          <t xml:space="preserve">xx </t>
        </is>
      </c>
      <c r="R259" t="inlineStr">
        <is>
          <t xml:space="preserve">QD </t>
        </is>
      </c>
      <c r="S259" t="n">
        <v>1</v>
      </c>
      <c r="T259" t="n">
        <v>324</v>
      </c>
      <c r="U259" t="inlineStr">
        <is>
          <t>1998-07-27</t>
        </is>
      </c>
      <c r="V259" t="inlineStr">
        <is>
          <t>1998-07-28</t>
        </is>
      </c>
      <c r="W259" t="inlineStr">
        <is>
          <t>1997-06-05</t>
        </is>
      </c>
      <c r="X259" t="inlineStr">
        <is>
          <t>1998-06-24</t>
        </is>
      </c>
      <c r="Y259" t="n">
        <v>259</v>
      </c>
      <c r="Z259" t="n">
        <v>221</v>
      </c>
      <c r="AA259" t="n">
        <v>223</v>
      </c>
      <c r="AB259" t="n">
        <v>2</v>
      </c>
      <c r="AC259" t="n">
        <v>2</v>
      </c>
      <c r="AD259" t="n">
        <v>10</v>
      </c>
      <c r="AE259" t="n">
        <v>10</v>
      </c>
      <c r="AF259" t="n">
        <v>2</v>
      </c>
      <c r="AG259" t="n">
        <v>2</v>
      </c>
      <c r="AH259" t="n">
        <v>2</v>
      </c>
      <c r="AI259" t="n">
        <v>2</v>
      </c>
      <c r="AJ259" t="n">
        <v>8</v>
      </c>
      <c r="AK259" t="n">
        <v>8</v>
      </c>
      <c r="AL259" t="n">
        <v>1</v>
      </c>
      <c r="AM259" t="n">
        <v>1</v>
      </c>
      <c r="AN259" t="n">
        <v>0</v>
      </c>
      <c r="AO259" t="n">
        <v>0</v>
      </c>
      <c r="AP259" t="inlineStr">
        <is>
          <t>No</t>
        </is>
      </c>
      <c r="AQ259" t="inlineStr">
        <is>
          <t>Yes</t>
        </is>
      </c>
      <c r="AR259">
        <f>HYPERLINK("http://catalog.hathitrust.org/Record/009932175","HathiTrust Record")</f>
        <v/>
      </c>
      <c r="AS259">
        <f>HYPERLINK("https://creighton-primo.hosted.exlibrisgroup.com/primo-explore/search?tab=default_tab&amp;search_scope=EVERYTHING&amp;vid=01CRU&amp;lang=en_US&amp;offset=0&amp;query=any,contains,991005356889702656","Catalog Record")</f>
        <v/>
      </c>
      <c r="AT259">
        <f>HYPERLINK("http://www.worldcat.org/oclc/802031","WorldCat Record")</f>
        <v/>
      </c>
      <c r="AU259" t="inlineStr">
        <is>
          <t>4924721893:ger</t>
        </is>
      </c>
      <c r="AV259" t="inlineStr">
        <is>
          <t>802031</t>
        </is>
      </c>
      <c r="AW259" t="inlineStr">
        <is>
          <t>991005356889702656</t>
        </is>
      </c>
      <c r="AX259" t="inlineStr">
        <is>
          <t>991005356889702656</t>
        </is>
      </c>
      <c r="AY259" t="inlineStr">
        <is>
          <t>2270552310002656</t>
        </is>
      </c>
      <c r="AZ259" t="inlineStr">
        <is>
          <t>BOOK</t>
        </is>
      </c>
      <c r="BC259" t="inlineStr">
        <is>
          <t>32285002790946</t>
        </is>
      </c>
      <c r="BD259" t="inlineStr">
        <is>
          <t>893520911</t>
        </is>
      </c>
    </row>
    <row r="260">
      <c r="A260" t="inlineStr">
        <is>
          <t>No</t>
        </is>
      </c>
      <c r="B260" t="inlineStr">
        <is>
          <t>QD151 .G52 NO. 48 PT. A1</t>
        </is>
      </c>
      <c r="C260" t="inlineStr">
        <is>
          <t>0                      QD 0151000G  52                                                      NO. 48 PT. A1</t>
        </is>
      </c>
      <c r="D260" t="inlineStr">
        <is>
          <t>Gmelins Handbuch der anorganischen chemie.</t>
        </is>
      </c>
      <c r="E260" t="inlineStr">
        <is>
          <t>NO. 48 PT. A1*</t>
        </is>
      </c>
      <c r="F260" t="inlineStr">
        <is>
          <t>Yes</t>
        </is>
      </c>
      <c r="G260" t="inlineStr">
        <is>
          <t>1</t>
        </is>
      </c>
      <c r="H260" t="inlineStr">
        <is>
          <t>No</t>
        </is>
      </c>
      <c r="I260" t="inlineStr">
        <is>
          <t>No</t>
        </is>
      </c>
      <c r="J260" t="inlineStr">
        <is>
          <t>0</t>
        </is>
      </c>
      <c r="L260" t="inlineStr">
        <is>
          <t>Leipzig-Berlin, Verlag Chemie g.m.b.h., 1924-</t>
        </is>
      </c>
      <c r="M260" t="inlineStr">
        <is>
          <t>1924</t>
        </is>
      </c>
      <c r="N260" t="inlineStr">
        <is>
          <t>8. aufl. Hrsg. von der Deutschen chemischen gesellschaft, bearb. von R.J. Meyer, unter beratender mitwirkung von Franz Peters.</t>
        </is>
      </c>
      <c r="O260" t="inlineStr">
        <is>
          <t>ger</t>
        </is>
      </c>
      <c r="P260" t="inlineStr">
        <is>
          <t xml:space="preserve">xx </t>
        </is>
      </c>
      <c r="R260" t="inlineStr">
        <is>
          <t xml:space="preserve">QD </t>
        </is>
      </c>
      <c r="S260" t="n">
        <v>1</v>
      </c>
      <c r="T260" t="n">
        <v>324</v>
      </c>
      <c r="U260" t="inlineStr">
        <is>
          <t>1998-07-27</t>
        </is>
      </c>
      <c r="V260" t="inlineStr">
        <is>
          <t>1998-07-28</t>
        </is>
      </c>
      <c r="W260" t="inlineStr">
        <is>
          <t>1997-06-05</t>
        </is>
      </c>
      <c r="X260" t="inlineStr">
        <is>
          <t>1998-06-24</t>
        </is>
      </c>
      <c r="Y260" t="n">
        <v>259</v>
      </c>
      <c r="Z260" t="n">
        <v>221</v>
      </c>
      <c r="AA260" t="n">
        <v>223</v>
      </c>
      <c r="AB260" t="n">
        <v>2</v>
      </c>
      <c r="AC260" t="n">
        <v>2</v>
      </c>
      <c r="AD260" t="n">
        <v>10</v>
      </c>
      <c r="AE260" t="n">
        <v>10</v>
      </c>
      <c r="AF260" t="n">
        <v>2</v>
      </c>
      <c r="AG260" t="n">
        <v>2</v>
      </c>
      <c r="AH260" t="n">
        <v>2</v>
      </c>
      <c r="AI260" t="n">
        <v>2</v>
      </c>
      <c r="AJ260" t="n">
        <v>8</v>
      </c>
      <c r="AK260" t="n">
        <v>8</v>
      </c>
      <c r="AL260" t="n">
        <v>1</v>
      </c>
      <c r="AM260" t="n">
        <v>1</v>
      </c>
      <c r="AN260" t="n">
        <v>0</v>
      </c>
      <c r="AO260" t="n">
        <v>0</v>
      </c>
      <c r="AP260" t="inlineStr">
        <is>
          <t>No</t>
        </is>
      </c>
      <c r="AQ260" t="inlineStr">
        <is>
          <t>Yes</t>
        </is>
      </c>
      <c r="AR260">
        <f>HYPERLINK("http://catalog.hathitrust.org/Record/009932175","HathiTrust Record")</f>
        <v/>
      </c>
      <c r="AS260">
        <f>HYPERLINK("https://creighton-primo.hosted.exlibrisgroup.com/primo-explore/search?tab=default_tab&amp;search_scope=EVERYTHING&amp;vid=01CRU&amp;lang=en_US&amp;offset=0&amp;query=any,contains,991005356889702656","Catalog Record")</f>
        <v/>
      </c>
      <c r="AT260">
        <f>HYPERLINK("http://www.worldcat.org/oclc/802031","WorldCat Record")</f>
        <v/>
      </c>
      <c r="AU260" t="inlineStr">
        <is>
          <t>4924721893:ger</t>
        </is>
      </c>
      <c r="AV260" t="inlineStr">
        <is>
          <t>802031</t>
        </is>
      </c>
      <c r="AW260" t="inlineStr">
        <is>
          <t>991005356889702656</t>
        </is>
      </c>
      <c r="AX260" t="inlineStr">
        <is>
          <t>991005356889702656</t>
        </is>
      </c>
      <c r="AY260" t="inlineStr">
        <is>
          <t>2270552310002656</t>
        </is>
      </c>
      <c r="AZ260" t="inlineStr">
        <is>
          <t>BOOK</t>
        </is>
      </c>
      <c r="BC260" t="inlineStr">
        <is>
          <t>32285002790953</t>
        </is>
      </c>
      <c r="BD260" t="inlineStr">
        <is>
          <t>893520987</t>
        </is>
      </c>
    </row>
    <row r="261">
      <c r="A261" t="inlineStr">
        <is>
          <t>No</t>
        </is>
      </c>
      <c r="B261" t="inlineStr">
        <is>
          <t>QD151 .G52 NO. 48 PT. A2</t>
        </is>
      </c>
      <c r="C261" t="inlineStr">
        <is>
          <t>0                      QD 0151000G  52                                                      NO. 48 PT. A2</t>
        </is>
      </c>
      <c r="D261" t="inlineStr">
        <is>
          <t>Gmelins Handbuch der anorganischen chemie.</t>
        </is>
      </c>
      <c r="E261" t="inlineStr">
        <is>
          <t>NO. 48 PT. A2*</t>
        </is>
      </c>
      <c r="F261" t="inlineStr">
        <is>
          <t>Yes</t>
        </is>
      </c>
      <c r="G261" t="inlineStr">
        <is>
          <t>1</t>
        </is>
      </c>
      <c r="H261" t="inlineStr">
        <is>
          <t>No</t>
        </is>
      </c>
      <c r="I261" t="inlineStr">
        <is>
          <t>No</t>
        </is>
      </c>
      <c r="J261" t="inlineStr">
        <is>
          <t>0</t>
        </is>
      </c>
      <c r="L261" t="inlineStr">
        <is>
          <t>Leipzig-Berlin, Verlag Chemie g.m.b.h., 1924-</t>
        </is>
      </c>
      <c r="M261" t="inlineStr">
        <is>
          <t>1924</t>
        </is>
      </c>
      <c r="N261" t="inlineStr">
        <is>
          <t>8. aufl. Hrsg. von der Deutschen chemischen gesellschaft, bearb. von R.J. Meyer, unter beratender mitwirkung von Franz Peters.</t>
        </is>
      </c>
      <c r="O261" t="inlineStr">
        <is>
          <t>ger</t>
        </is>
      </c>
      <c r="P261" t="inlineStr">
        <is>
          <t xml:space="preserve">xx </t>
        </is>
      </c>
      <c r="R261" t="inlineStr">
        <is>
          <t xml:space="preserve">QD </t>
        </is>
      </c>
      <c r="S261" t="n">
        <v>1</v>
      </c>
      <c r="T261" t="n">
        <v>324</v>
      </c>
      <c r="U261" t="inlineStr">
        <is>
          <t>1998-07-27</t>
        </is>
      </c>
      <c r="V261" t="inlineStr">
        <is>
          <t>1998-07-28</t>
        </is>
      </c>
      <c r="W261" t="inlineStr">
        <is>
          <t>1997-06-05</t>
        </is>
      </c>
      <c r="X261" t="inlineStr">
        <is>
          <t>1998-06-24</t>
        </is>
      </c>
      <c r="Y261" t="n">
        <v>259</v>
      </c>
      <c r="Z261" t="n">
        <v>221</v>
      </c>
      <c r="AA261" t="n">
        <v>223</v>
      </c>
      <c r="AB261" t="n">
        <v>2</v>
      </c>
      <c r="AC261" t="n">
        <v>2</v>
      </c>
      <c r="AD261" t="n">
        <v>10</v>
      </c>
      <c r="AE261" t="n">
        <v>10</v>
      </c>
      <c r="AF261" t="n">
        <v>2</v>
      </c>
      <c r="AG261" t="n">
        <v>2</v>
      </c>
      <c r="AH261" t="n">
        <v>2</v>
      </c>
      <c r="AI261" t="n">
        <v>2</v>
      </c>
      <c r="AJ261" t="n">
        <v>8</v>
      </c>
      <c r="AK261" t="n">
        <v>8</v>
      </c>
      <c r="AL261" t="n">
        <v>1</v>
      </c>
      <c r="AM261" t="n">
        <v>1</v>
      </c>
      <c r="AN261" t="n">
        <v>0</v>
      </c>
      <c r="AO261" t="n">
        <v>0</v>
      </c>
      <c r="AP261" t="inlineStr">
        <is>
          <t>No</t>
        </is>
      </c>
      <c r="AQ261" t="inlineStr">
        <is>
          <t>Yes</t>
        </is>
      </c>
      <c r="AR261">
        <f>HYPERLINK("http://catalog.hathitrust.org/Record/009932175","HathiTrust Record")</f>
        <v/>
      </c>
      <c r="AS261">
        <f>HYPERLINK("https://creighton-primo.hosted.exlibrisgroup.com/primo-explore/search?tab=default_tab&amp;search_scope=EVERYTHING&amp;vid=01CRU&amp;lang=en_US&amp;offset=0&amp;query=any,contains,991005356889702656","Catalog Record")</f>
        <v/>
      </c>
      <c r="AT261">
        <f>HYPERLINK("http://www.worldcat.org/oclc/802031","WorldCat Record")</f>
        <v/>
      </c>
      <c r="AU261" t="inlineStr">
        <is>
          <t>4924721893:ger</t>
        </is>
      </c>
      <c r="AV261" t="inlineStr">
        <is>
          <t>802031</t>
        </is>
      </c>
      <c r="AW261" t="inlineStr">
        <is>
          <t>991005356889702656</t>
        </is>
      </c>
      <c r="AX261" t="inlineStr">
        <is>
          <t>991005356889702656</t>
        </is>
      </c>
      <c r="AY261" t="inlineStr">
        <is>
          <t>2270552310002656</t>
        </is>
      </c>
      <c r="AZ261" t="inlineStr">
        <is>
          <t>BOOK</t>
        </is>
      </c>
      <c r="BC261" t="inlineStr">
        <is>
          <t>32285002790961</t>
        </is>
      </c>
      <c r="BD261" t="inlineStr">
        <is>
          <t>893527449</t>
        </is>
      </c>
    </row>
    <row r="262">
      <c r="A262" t="inlineStr">
        <is>
          <t>No</t>
        </is>
      </c>
      <c r="B262" t="inlineStr">
        <is>
          <t>QD151 .G52 NO. 48 PT. B1</t>
        </is>
      </c>
      <c r="C262" t="inlineStr">
        <is>
          <t>0                      QD 0151000G  52                                                      NO. 48 PT. B1</t>
        </is>
      </c>
      <c r="D262" t="inlineStr">
        <is>
          <t>Gmelins Handbuch der anorganischen chemie.</t>
        </is>
      </c>
      <c r="E262" t="inlineStr">
        <is>
          <t>NO. 48 PT. B1*</t>
        </is>
      </c>
      <c r="F262" t="inlineStr">
        <is>
          <t>Yes</t>
        </is>
      </c>
      <c r="G262" t="inlineStr">
        <is>
          <t>1</t>
        </is>
      </c>
      <c r="H262" t="inlineStr">
        <is>
          <t>No</t>
        </is>
      </c>
      <c r="I262" t="inlineStr">
        <is>
          <t>No</t>
        </is>
      </c>
      <c r="J262" t="inlineStr">
        <is>
          <t>0</t>
        </is>
      </c>
      <c r="L262" t="inlineStr">
        <is>
          <t>Leipzig-Berlin, Verlag Chemie g.m.b.h., 1924-</t>
        </is>
      </c>
      <c r="M262" t="inlineStr">
        <is>
          <t>1924</t>
        </is>
      </c>
      <c r="N262" t="inlineStr">
        <is>
          <t>8. aufl. Hrsg. von der Deutschen chemischen gesellschaft, bearb. von R.J. Meyer, unter beratender mitwirkung von Franz Peters.</t>
        </is>
      </c>
      <c r="O262" t="inlineStr">
        <is>
          <t>ger</t>
        </is>
      </c>
      <c r="P262" t="inlineStr">
        <is>
          <t xml:space="preserve">xx </t>
        </is>
      </c>
      <c r="R262" t="inlineStr">
        <is>
          <t xml:space="preserve">QD </t>
        </is>
      </c>
      <c r="S262" t="n">
        <v>1</v>
      </c>
      <c r="T262" t="n">
        <v>324</v>
      </c>
      <c r="U262" t="inlineStr">
        <is>
          <t>1998-07-27</t>
        </is>
      </c>
      <c r="V262" t="inlineStr">
        <is>
          <t>1998-07-28</t>
        </is>
      </c>
      <c r="W262" t="inlineStr">
        <is>
          <t>1997-06-05</t>
        </is>
      </c>
      <c r="X262" t="inlineStr">
        <is>
          <t>1998-06-24</t>
        </is>
      </c>
      <c r="Y262" t="n">
        <v>259</v>
      </c>
      <c r="Z262" t="n">
        <v>221</v>
      </c>
      <c r="AA262" t="n">
        <v>223</v>
      </c>
      <c r="AB262" t="n">
        <v>2</v>
      </c>
      <c r="AC262" t="n">
        <v>2</v>
      </c>
      <c r="AD262" t="n">
        <v>10</v>
      </c>
      <c r="AE262" t="n">
        <v>10</v>
      </c>
      <c r="AF262" t="n">
        <v>2</v>
      </c>
      <c r="AG262" t="n">
        <v>2</v>
      </c>
      <c r="AH262" t="n">
        <v>2</v>
      </c>
      <c r="AI262" t="n">
        <v>2</v>
      </c>
      <c r="AJ262" t="n">
        <v>8</v>
      </c>
      <c r="AK262" t="n">
        <v>8</v>
      </c>
      <c r="AL262" t="n">
        <v>1</v>
      </c>
      <c r="AM262" t="n">
        <v>1</v>
      </c>
      <c r="AN262" t="n">
        <v>0</v>
      </c>
      <c r="AO262" t="n">
        <v>0</v>
      </c>
      <c r="AP262" t="inlineStr">
        <is>
          <t>No</t>
        </is>
      </c>
      <c r="AQ262" t="inlineStr">
        <is>
          <t>Yes</t>
        </is>
      </c>
      <c r="AR262">
        <f>HYPERLINK("http://catalog.hathitrust.org/Record/009932175","HathiTrust Record")</f>
        <v/>
      </c>
      <c r="AS262">
        <f>HYPERLINK("https://creighton-primo.hosted.exlibrisgroup.com/primo-explore/search?tab=default_tab&amp;search_scope=EVERYTHING&amp;vid=01CRU&amp;lang=en_US&amp;offset=0&amp;query=any,contains,991005356889702656","Catalog Record")</f>
        <v/>
      </c>
      <c r="AT262">
        <f>HYPERLINK("http://www.worldcat.org/oclc/802031","WorldCat Record")</f>
        <v/>
      </c>
      <c r="AU262" t="inlineStr">
        <is>
          <t>4924721893:ger</t>
        </is>
      </c>
      <c r="AV262" t="inlineStr">
        <is>
          <t>802031</t>
        </is>
      </c>
      <c r="AW262" t="inlineStr">
        <is>
          <t>991005356889702656</t>
        </is>
      </c>
      <c r="AX262" t="inlineStr">
        <is>
          <t>991005356889702656</t>
        </is>
      </c>
      <c r="AY262" t="inlineStr">
        <is>
          <t>2270552310002656</t>
        </is>
      </c>
      <c r="AZ262" t="inlineStr">
        <is>
          <t>BOOK</t>
        </is>
      </c>
      <c r="BC262" t="inlineStr">
        <is>
          <t>32285002790979</t>
        </is>
      </c>
      <c r="BD262" t="inlineStr">
        <is>
          <t>893508087</t>
        </is>
      </c>
    </row>
    <row r="263">
      <c r="A263" t="inlineStr">
        <is>
          <t>No</t>
        </is>
      </c>
      <c r="B263" t="inlineStr">
        <is>
          <t>QD151 .G52 NO. 48 PT. B2</t>
        </is>
      </c>
      <c r="C263" t="inlineStr">
        <is>
          <t>0                      QD 0151000G  52                                                      NO. 48 PT. B2</t>
        </is>
      </c>
      <c r="D263" t="inlineStr">
        <is>
          <t>Gmelins Handbuch der anorganischen chemie.</t>
        </is>
      </c>
      <c r="E263" t="inlineStr">
        <is>
          <t>NO. 48 PT. B2*</t>
        </is>
      </c>
      <c r="F263" t="inlineStr">
        <is>
          <t>Yes</t>
        </is>
      </c>
      <c r="G263" t="inlineStr">
        <is>
          <t>1</t>
        </is>
      </c>
      <c r="H263" t="inlineStr">
        <is>
          <t>No</t>
        </is>
      </c>
      <c r="I263" t="inlineStr">
        <is>
          <t>No</t>
        </is>
      </c>
      <c r="J263" t="inlineStr">
        <is>
          <t>0</t>
        </is>
      </c>
      <c r="L263" t="inlineStr">
        <is>
          <t>Leipzig-Berlin, Verlag Chemie g.m.b.h., 1924-</t>
        </is>
      </c>
      <c r="M263" t="inlineStr">
        <is>
          <t>1924</t>
        </is>
      </c>
      <c r="N263" t="inlineStr">
        <is>
          <t>8. aufl. Hrsg. von der Deutschen chemischen gesellschaft, bearb. von R.J. Meyer, unter beratender mitwirkung von Franz Peters.</t>
        </is>
      </c>
      <c r="O263" t="inlineStr">
        <is>
          <t>ger</t>
        </is>
      </c>
      <c r="P263" t="inlineStr">
        <is>
          <t xml:space="preserve">xx </t>
        </is>
      </c>
      <c r="R263" t="inlineStr">
        <is>
          <t xml:space="preserve">QD </t>
        </is>
      </c>
      <c r="S263" t="n">
        <v>1</v>
      </c>
      <c r="T263" t="n">
        <v>324</v>
      </c>
      <c r="U263" t="inlineStr">
        <is>
          <t>1998-07-27</t>
        </is>
      </c>
      <c r="V263" t="inlineStr">
        <is>
          <t>1998-07-28</t>
        </is>
      </c>
      <c r="W263" t="inlineStr">
        <is>
          <t>1997-06-05</t>
        </is>
      </c>
      <c r="X263" t="inlineStr">
        <is>
          <t>1998-06-24</t>
        </is>
      </c>
      <c r="Y263" t="n">
        <v>259</v>
      </c>
      <c r="Z263" t="n">
        <v>221</v>
      </c>
      <c r="AA263" t="n">
        <v>223</v>
      </c>
      <c r="AB263" t="n">
        <v>2</v>
      </c>
      <c r="AC263" t="n">
        <v>2</v>
      </c>
      <c r="AD263" t="n">
        <v>10</v>
      </c>
      <c r="AE263" t="n">
        <v>10</v>
      </c>
      <c r="AF263" t="n">
        <v>2</v>
      </c>
      <c r="AG263" t="n">
        <v>2</v>
      </c>
      <c r="AH263" t="n">
        <v>2</v>
      </c>
      <c r="AI263" t="n">
        <v>2</v>
      </c>
      <c r="AJ263" t="n">
        <v>8</v>
      </c>
      <c r="AK263" t="n">
        <v>8</v>
      </c>
      <c r="AL263" t="n">
        <v>1</v>
      </c>
      <c r="AM263" t="n">
        <v>1</v>
      </c>
      <c r="AN263" t="n">
        <v>0</v>
      </c>
      <c r="AO263" t="n">
        <v>0</v>
      </c>
      <c r="AP263" t="inlineStr">
        <is>
          <t>No</t>
        </is>
      </c>
      <c r="AQ263" t="inlineStr">
        <is>
          <t>Yes</t>
        </is>
      </c>
      <c r="AR263">
        <f>HYPERLINK("http://catalog.hathitrust.org/Record/009932175","HathiTrust Record")</f>
        <v/>
      </c>
      <c r="AS263">
        <f>HYPERLINK("https://creighton-primo.hosted.exlibrisgroup.com/primo-explore/search?tab=default_tab&amp;search_scope=EVERYTHING&amp;vid=01CRU&amp;lang=en_US&amp;offset=0&amp;query=any,contains,991005356889702656","Catalog Record")</f>
        <v/>
      </c>
      <c r="AT263">
        <f>HYPERLINK("http://www.worldcat.org/oclc/802031","WorldCat Record")</f>
        <v/>
      </c>
      <c r="AU263" t="inlineStr">
        <is>
          <t>4924721893:ger</t>
        </is>
      </c>
      <c r="AV263" t="inlineStr">
        <is>
          <t>802031</t>
        </is>
      </c>
      <c r="AW263" t="inlineStr">
        <is>
          <t>991005356889702656</t>
        </is>
      </c>
      <c r="AX263" t="inlineStr">
        <is>
          <t>991005356889702656</t>
        </is>
      </c>
      <c r="AY263" t="inlineStr">
        <is>
          <t>2270552310002656</t>
        </is>
      </c>
      <c r="AZ263" t="inlineStr">
        <is>
          <t>BOOK</t>
        </is>
      </c>
      <c r="BC263" t="inlineStr">
        <is>
          <t>32285002790987</t>
        </is>
      </c>
      <c r="BD263" t="inlineStr">
        <is>
          <t>893514550</t>
        </is>
      </c>
    </row>
    <row r="264">
      <c r="A264" t="inlineStr">
        <is>
          <t>No</t>
        </is>
      </c>
      <c r="B264" t="inlineStr">
        <is>
          <t>QD151 .G52 NO. 48-50</t>
        </is>
      </c>
      <c r="C264" t="inlineStr">
        <is>
          <t>0                      QD 0151000G  52                                                      NO. 48-50</t>
        </is>
      </c>
      <c r="D264" t="inlineStr">
        <is>
          <t>Gmelins Handbuch der anorganischen chemie.</t>
        </is>
      </c>
      <c r="E264" t="inlineStr">
        <is>
          <t>NO. 48-50*</t>
        </is>
      </c>
      <c r="F264" t="inlineStr">
        <is>
          <t>Yes</t>
        </is>
      </c>
      <c r="G264" t="inlineStr">
        <is>
          <t>1</t>
        </is>
      </c>
      <c r="H264" t="inlineStr">
        <is>
          <t>No</t>
        </is>
      </c>
      <c r="I264" t="inlineStr">
        <is>
          <t>No</t>
        </is>
      </c>
      <c r="J264" t="inlineStr">
        <is>
          <t>0</t>
        </is>
      </c>
      <c r="L264" t="inlineStr">
        <is>
          <t>Leipzig-Berlin, Verlag Chemie g.m.b.h., 1924-</t>
        </is>
      </c>
      <c r="M264" t="inlineStr">
        <is>
          <t>1924</t>
        </is>
      </c>
      <c r="N264" t="inlineStr">
        <is>
          <t>8. aufl. Hrsg. von der Deutschen chemischen gesellschaft, bearb. von R.J. Meyer, unter beratender mitwirkung von Franz Peters.</t>
        </is>
      </c>
      <c r="O264" t="inlineStr">
        <is>
          <t>ger</t>
        </is>
      </c>
      <c r="P264" t="inlineStr">
        <is>
          <t xml:space="preserve">xx </t>
        </is>
      </c>
      <c r="R264" t="inlineStr">
        <is>
          <t xml:space="preserve">QD </t>
        </is>
      </c>
      <c r="S264" t="n">
        <v>1</v>
      </c>
      <c r="T264" t="n">
        <v>324</v>
      </c>
      <c r="U264" t="inlineStr">
        <is>
          <t>1998-07-27</t>
        </is>
      </c>
      <c r="V264" t="inlineStr">
        <is>
          <t>1998-07-28</t>
        </is>
      </c>
      <c r="W264" t="inlineStr">
        <is>
          <t>1997-06-05</t>
        </is>
      </c>
      <c r="X264" t="inlineStr">
        <is>
          <t>1998-06-24</t>
        </is>
      </c>
      <c r="Y264" t="n">
        <v>259</v>
      </c>
      <c r="Z264" t="n">
        <v>221</v>
      </c>
      <c r="AA264" t="n">
        <v>223</v>
      </c>
      <c r="AB264" t="n">
        <v>2</v>
      </c>
      <c r="AC264" t="n">
        <v>2</v>
      </c>
      <c r="AD264" t="n">
        <v>10</v>
      </c>
      <c r="AE264" t="n">
        <v>10</v>
      </c>
      <c r="AF264" t="n">
        <v>2</v>
      </c>
      <c r="AG264" t="n">
        <v>2</v>
      </c>
      <c r="AH264" t="n">
        <v>2</v>
      </c>
      <c r="AI264" t="n">
        <v>2</v>
      </c>
      <c r="AJ264" t="n">
        <v>8</v>
      </c>
      <c r="AK264" t="n">
        <v>8</v>
      </c>
      <c r="AL264" t="n">
        <v>1</v>
      </c>
      <c r="AM264" t="n">
        <v>1</v>
      </c>
      <c r="AN264" t="n">
        <v>0</v>
      </c>
      <c r="AO264" t="n">
        <v>0</v>
      </c>
      <c r="AP264" t="inlineStr">
        <is>
          <t>No</t>
        </is>
      </c>
      <c r="AQ264" t="inlineStr">
        <is>
          <t>Yes</t>
        </is>
      </c>
      <c r="AR264">
        <f>HYPERLINK("http://catalog.hathitrust.org/Record/009932175","HathiTrust Record")</f>
        <v/>
      </c>
      <c r="AS264">
        <f>HYPERLINK("https://creighton-primo.hosted.exlibrisgroup.com/primo-explore/search?tab=default_tab&amp;search_scope=EVERYTHING&amp;vid=01CRU&amp;lang=en_US&amp;offset=0&amp;query=any,contains,991005356889702656","Catalog Record")</f>
        <v/>
      </c>
      <c r="AT264">
        <f>HYPERLINK("http://www.worldcat.org/oclc/802031","WorldCat Record")</f>
        <v/>
      </c>
      <c r="AU264" t="inlineStr">
        <is>
          <t>4924721893:ger</t>
        </is>
      </c>
      <c r="AV264" t="inlineStr">
        <is>
          <t>802031</t>
        </is>
      </c>
      <c r="AW264" t="inlineStr">
        <is>
          <t>991005356889702656</t>
        </is>
      </c>
      <c r="AX264" t="inlineStr">
        <is>
          <t>991005356889702656</t>
        </is>
      </c>
      <c r="AY264" t="inlineStr">
        <is>
          <t>2270552310002656</t>
        </is>
      </c>
      <c r="AZ264" t="inlineStr">
        <is>
          <t>BOOK</t>
        </is>
      </c>
      <c r="BC264" t="inlineStr">
        <is>
          <t>32285002791092</t>
        </is>
      </c>
      <c r="BD264" t="inlineStr">
        <is>
          <t>893508086</t>
        </is>
      </c>
    </row>
    <row r="265">
      <c r="A265" t="inlineStr">
        <is>
          <t>No</t>
        </is>
      </c>
      <c r="B265" t="inlineStr">
        <is>
          <t>QD151 .G52 NO. 49 PT. A</t>
        </is>
      </c>
      <c r="C265" t="inlineStr">
        <is>
          <t>0                      QD 0151000G  52                                                      NO. 49 PT. A</t>
        </is>
      </c>
      <c r="D265" t="inlineStr">
        <is>
          <t>Gmelins Handbuch der anorganischen chemie.</t>
        </is>
      </c>
      <c r="E265" t="inlineStr">
        <is>
          <t>NO. 49 PT. A*</t>
        </is>
      </c>
      <c r="F265" t="inlineStr">
        <is>
          <t>Yes</t>
        </is>
      </c>
      <c r="G265" t="inlineStr">
        <is>
          <t>1</t>
        </is>
      </c>
      <c r="H265" t="inlineStr">
        <is>
          <t>No</t>
        </is>
      </c>
      <c r="I265" t="inlineStr">
        <is>
          <t>No</t>
        </is>
      </c>
      <c r="J265" t="inlineStr">
        <is>
          <t>0</t>
        </is>
      </c>
      <c r="L265" t="inlineStr">
        <is>
          <t>Leipzig-Berlin, Verlag Chemie g.m.b.h., 1924-</t>
        </is>
      </c>
      <c r="M265" t="inlineStr">
        <is>
          <t>1924</t>
        </is>
      </c>
      <c r="N265" t="inlineStr">
        <is>
          <t>8. aufl. Hrsg. von der Deutschen chemischen gesellschaft, bearb. von R.J. Meyer, unter beratender mitwirkung von Franz Peters.</t>
        </is>
      </c>
      <c r="O265" t="inlineStr">
        <is>
          <t>ger</t>
        </is>
      </c>
      <c r="P265" t="inlineStr">
        <is>
          <t xml:space="preserve">xx </t>
        </is>
      </c>
      <c r="R265" t="inlineStr">
        <is>
          <t xml:space="preserve">QD </t>
        </is>
      </c>
      <c r="S265" t="n">
        <v>1</v>
      </c>
      <c r="T265" t="n">
        <v>324</v>
      </c>
      <c r="U265" t="inlineStr">
        <is>
          <t>1998-07-27</t>
        </is>
      </c>
      <c r="V265" t="inlineStr">
        <is>
          <t>1998-07-28</t>
        </is>
      </c>
      <c r="W265" t="inlineStr">
        <is>
          <t>1997-06-05</t>
        </is>
      </c>
      <c r="X265" t="inlineStr">
        <is>
          <t>1998-06-24</t>
        </is>
      </c>
      <c r="Y265" t="n">
        <v>259</v>
      </c>
      <c r="Z265" t="n">
        <v>221</v>
      </c>
      <c r="AA265" t="n">
        <v>223</v>
      </c>
      <c r="AB265" t="n">
        <v>2</v>
      </c>
      <c r="AC265" t="n">
        <v>2</v>
      </c>
      <c r="AD265" t="n">
        <v>10</v>
      </c>
      <c r="AE265" t="n">
        <v>10</v>
      </c>
      <c r="AF265" t="n">
        <v>2</v>
      </c>
      <c r="AG265" t="n">
        <v>2</v>
      </c>
      <c r="AH265" t="n">
        <v>2</v>
      </c>
      <c r="AI265" t="n">
        <v>2</v>
      </c>
      <c r="AJ265" t="n">
        <v>8</v>
      </c>
      <c r="AK265" t="n">
        <v>8</v>
      </c>
      <c r="AL265" t="n">
        <v>1</v>
      </c>
      <c r="AM265" t="n">
        <v>1</v>
      </c>
      <c r="AN265" t="n">
        <v>0</v>
      </c>
      <c r="AO265" t="n">
        <v>0</v>
      </c>
      <c r="AP265" t="inlineStr">
        <is>
          <t>No</t>
        </is>
      </c>
      <c r="AQ265" t="inlineStr">
        <is>
          <t>Yes</t>
        </is>
      </c>
      <c r="AR265">
        <f>HYPERLINK("http://catalog.hathitrust.org/Record/009932175","HathiTrust Record")</f>
        <v/>
      </c>
      <c r="AS265">
        <f>HYPERLINK("https://creighton-primo.hosted.exlibrisgroup.com/primo-explore/search?tab=default_tab&amp;search_scope=EVERYTHING&amp;vid=01CRU&amp;lang=en_US&amp;offset=0&amp;query=any,contains,991005356889702656","Catalog Record")</f>
        <v/>
      </c>
      <c r="AT265">
        <f>HYPERLINK("http://www.worldcat.org/oclc/802031","WorldCat Record")</f>
        <v/>
      </c>
      <c r="AU265" t="inlineStr">
        <is>
          <t>4924721893:ger</t>
        </is>
      </c>
      <c r="AV265" t="inlineStr">
        <is>
          <t>802031</t>
        </is>
      </c>
      <c r="AW265" t="inlineStr">
        <is>
          <t>991005356889702656</t>
        </is>
      </c>
      <c r="AX265" t="inlineStr">
        <is>
          <t>991005356889702656</t>
        </is>
      </c>
      <c r="AY265" t="inlineStr">
        <is>
          <t>2270552310002656</t>
        </is>
      </c>
      <c r="AZ265" t="inlineStr">
        <is>
          <t>BOOK</t>
        </is>
      </c>
      <c r="BC265" t="inlineStr">
        <is>
          <t>32285002790995</t>
        </is>
      </c>
      <c r="BD265" t="inlineStr">
        <is>
          <t>893508085</t>
        </is>
      </c>
    </row>
    <row r="266">
      <c r="A266" t="inlineStr">
        <is>
          <t>No</t>
        </is>
      </c>
      <c r="B266" t="inlineStr">
        <is>
          <t>QD151 .G52 NO. 49 PT. B1</t>
        </is>
      </c>
      <c r="C266" t="inlineStr">
        <is>
          <t>0                      QD 0151000G  52                                                      NO. 49 PT. B1</t>
        </is>
      </c>
      <c r="D266" t="inlineStr">
        <is>
          <t>Gmelins Handbuch der anorganischen chemie.</t>
        </is>
      </c>
      <c r="E266" t="inlineStr">
        <is>
          <t>NO. 49 PT. B1*</t>
        </is>
      </c>
      <c r="F266" t="inlineStr">
        <is>
          <t>Yes</t>
        </is>
      </c>
      <c r="G266" t="inlineStr">
        <is>
          <t>1</t>
        </is>
      </c>
      <c r="H266" t="inlineStr">
        <is>
          <t>No</t>
        </is>
      </c>
      <c r="I266" t="inlineStr">
        <is>
          <t>No</t>
        </is>
      </c>
      <c r="J266" t="inlineStr">
        <is>
          <t>0</t>
        </is>
      </c>
      <c r="L266" t="inlineStr">
        <is>
          <t>Leipzig-Berlin, Verlag Chemie g.m.b.h., 1924-</t>
        </is>
      </c>
      <c r="M266" t="inlineStr">
        <is>
          <t>1924</t>
        </is>
      </c>
      <c r="N266" t="inlineStr">
        <is>
          <t>8. aufl. Hrsg. von der Deutschen chemischen gesellschaft, bearb. von R.J. Meyer, unter beratender mitwirkung von Franz Peters.</t>
        </is>
      </c>
      <c r="O266" t="inlineStr">
        <is>
          <t>ger</t>
        </is>
      </c>
      <c r="P266" t="inlineStr">
        <is>
          <t xml:space="preserve">xx </t>
        </is>
      </c>
      <c r="R266" t="inlineStr">
        <is>
          <t xml:space="preserve">QD </t>
        </is>
      </c>
      <c r="S266" t="n">
        <v>1</v>
      </c>
      <c r="T266" t="n">
        <v>324</v>
      </c>
      <c r="U266" t="inlineStr">
        <is>
          <t>1998-07-27</t>
        </is>
      </c>
      <c r="V266" t="inlineStr">
        <is>
          <t>1998-07-28</t>
        </is>
      </c>
      <c r="W266" t="inlineStr">
        <is>
          <t>1997-06-05</t>
        </is>
      </c>
      <c r="X266" t="inlineStr">
        <is>
          <t>1998-06-24</t>
        </is>
      </c>
      <c r="Y266" t="n">
        <v>259</v>
      </c>
      <c r="Z266" t="n">
        <v>221</v>
      </c>
      <c r="AA266" t="n">
        <v>223</v>
      </c>
      <c r="AB266" t="n">
        <v>2</v>
      </c>
      <c r="AC266" t="n">
        <v>2</v>
      </c>
      <c r="AD266" t="n">
        <v>10</v>
      </c>
      <c r="AE266" t="n">
        <v>10</v>
      </c>
      <c r="AF266" t="n">
        <v>2</v>
      </c>
      <c r="AG266" t="n">
        <v>2</v>
      </c>
      <c r="AH266" t="n">
        <v>2</v>
      </c>
      <c r="AI266" t="n">
        <v>2</v>
      </c>
      <c r="AJ266" t="n">
        <v>8</v>
      </c>
      <c r="AK266" t="n">
        <v>8</v>
      </c>
      <c r="AL266" t="n">
        <v>1</v>
      </c>
      <c r="AM266" t="n">
        <v>1</v>
      </c>
      <c r="AN266" t="n">
        <v>0</v>
      </c>
      <c r="AO266" t="n">
        <v>0</v>
      </c>
      <c r="AP266" t="inlineStr">
        <is>
          <t>No</t>
        </is>
      </c>
      <c r="AQ266" t="inlineStr">
        <is>
          <t>Yes</t>
        </is>
      </c>
      <c r="AR266">
        <f>HYPERLINK("http://catalog.hathitrust.org/Record/009932175","HathiTrust Record")</f>
        <v/>
      </c>
      <c r="AS266">
        <f>HYPERLINK("https://creighton-primo.hosted.exlibrisgroup.com/primo-explore/search?tab=default_tab&amp;search_scope=EVERYTHING&amp;vid=01CRU&amp;lang=en_US&amp;offset=0&amp;query=any,contains,991005356889702656","Catalog Record")</f>
        <v/>
      </c>
      <c r="AT266">
        <f>HYPERLINK("http://www.worldcat.org/oclc/802031","WorldCat Record")</f>
        <v/>
      </c>
      <c r="AU266" t="inlineStr">
        <is>
          <t>4924721893:ger</t>
        </is>
      </c>
      <c r="AV266" t="inlineStr">
        <is>
          <t>802031</t>
        </is>
      </c>
      <c r="AW266" t="inlineStr">
        <is>
          <t>991005356889702656</t>
        </is>
      </c>
      <c r="AX266" t="inlineStr">
        <is>
          <t>991005356889702656</t>
        </is>
      </c>
      <c r="AY266" t="inlineStr">
        <is>
          <t>2270552310002656</t>
        </is>
      </c>
      <c r="AZ266" t="inlineStr">
        <is>
          <t>BOOK</t>
        </is>
      </c>
      <c r="BC266" t="inlineStr">
        <is>
          <t>32285002791001</t>
        </is>
      </c>
      <c r="BD266" t="inlineStr">
        <is>
          <t>893514520</t>
        </is>
      </c>
    </row>
    <row r="267">
      <c r="A267" t="inlineStr">
        <is>
          <t>No</t>
        </is>
      </c>
      <c r="B267" t="inlineStr">
        <is>
          <t>QD151 .G52 NO. 49 PT. B2</t>
        </is>
      </c>
      <c r="C267" t="inlineStr">
        <is>
          <t>0                      QD 0151000G  52                                                      NO. 49 PT. B2</t>
        </is>
      </c>
      <c r="D267" t="inlineStr">
        <is>
          <t>Gmelins Handbuch der anorganischen chemie.</t>
        </is>
      </c>
      <c r="E267" t="inlineStr">
        <is>
          <t>NO. 49 PT. B2*</t>
        </is>
      </c>
      <c r="F267" t="inlineStr">
        <is>
          <t>Yes</t>
        </is>
      </c>
      <c r="G267" t="inlineStr">
        <is>
          <t>1</t>
        </is>
      </c>
      <c r="H267" t="inlineStr">
        <is>
          <t>No</t>
        </is>
      </c>
      <c r="I267" t="inlineStr">
        <is>
          <t>No</t>
        </is>
      </c>
      <c r="J267" t="inlineStr">
        <is>
          <t>0</t>
        </is>
      </c>
      <c r="L267" t="inlineStr">
        <is>
          <t>Leipzig-Berlin, Verlag Chemie g.m.b.h., 1924-</t>
        </is>
      </c>
      <c r="M267" t="inlineStr">
        <is>
          <t>1924</t>
        </is>
      </c>
      <c r="N267" t="inlineStr">
        <is>
          <t>8. aufl. Hrsg. von der Deutschen chemischen gesellschaft, bearb. von R.J. Meyer, unter beratender mitwirkung von Franz Peters.</t>
        </is>
      </c>
      <c r="O267" t="inlineStr">
        <is>
          <t>ger</t>
        </is>
      </c>
      <c r="P267" t="inlineStr">
        <is>
          <t xml:space="preserve">xx </t>
        </is>
      </c>
      <c r="R267" t="inlineStr">
        <is>
          <t xml:space="preserve">QD </t>
        </is>
      </c>
      <c r="S267" t="n">
        <v>1</v>
      </c>
      <c r="T267" t="n">
        <v>324</v>
      </c>
      <c r="U267" t="inlineStr">
        <is>
          <t>1998-07-27</t>
        </is>
      </c>
      <c r="V267" t="inlineStr">
        <is>
          <t>1998-07-28</t>
        </is>
      </c>
      <c r="W267" t="inlineStr">
        <is>
          <t>1997-06-05</t>
        </is>
      </c>
      <c r="X267" t="inlineStr">
        <is>
          <t>1998-06-24</t>
        </is>
      </c>
      <c r="Y267" t="n">
        <v>259</v>
      </c>
      <c r="Z267" t="n">
        <v>221</v>
      </c>
      <c r="AA267" t="n">
        <v>223</v>
      </c>
      <c r="AB267" t="n">
        <v>2</v>
      </c>
      <c r="AC267" t="n">
        <v>2</v>
      </c>
      <c r="AD267" t="n">
        <v>10</v>
      </c>
      <c r="AE267" t="n">
        <v>10</v>
      </c>
      <c r="AF267" t="n">
        <v>2</v>
      </c>
      <c r="AG267" t="n">
        <v>2</v>
      </c>
      <c r="AH267" t="n">
        <v>2</v>
      </c>
      <c r="AI267" t="n">
        <v>2</v>
      </c>
      <c r="AJ267" t="n">
        <v>8</v>
      </c>
      <c r="AK267" t="n">
        <v>8</v>
      </c>
      <c r="AL267" t="n">
        <v>1</v>
      </c>
      <c r="AM267" t="n">
        <v>1</v>
      </c>
      <c r="AN267" t="n">
        <v>0</v>
      </c>
      <c r="AO267" t="n">
        <v>0</v>
      </c>
      <c r="AP267" t="inlineStr">
        <is>
          <t>No</t>
        </is>
      </c>
      <c r="AQ267" t="inlineStr">
        <is>
          <t>Yes</t>
        </is>
      </c>
      <c r="AR267">
        <f>HYPERLINK("http://catalog.hathitrust.org/Record/009932175","HathiTrust Record")</f>
        <v/>
      </c>
      <c r="AS267">
        <f>HYPERLINK("https://creighton-primo.hosted.exlibrisgroup.com/primo-explore/search?tab=default_tab&amp;search_scope=EVERYTHING&amp;vid=01CRU&amp;lang=en_US&amp;offset=0&amp;query=any,contains,991005356889702656","Catalog Record")</f>
        <v/>
      </c>
      <c r="AT267">
        <f>HYPERLINK("http://www.worldcat.org/oclc/802031","WorldCat Record")</f>
        <v/>
      </c>
      <c r="AU267" t="inlineStr">
        <is>
          <t>4924721893:ger</t>
        </is>
      </c>
      <c r="AV267" t="inlineStr">
        <is>
          <t>802031</t>
        </is>
      </c>
      <c r="AW267" t="inlineStr">
        <is>
          <t>991005356889702656</t>
        </is>
      </c>
      <c r="AX267" t="inlineStr">
        <is>
          <t>991005356889702656</t>
        </is>
      </c>
      <c r="AY267" t="inlineStr">
        <is>
          <t>2270552310002656</t>
        </is>
      </c>
      <c r="AZ267" t="inlineStr">
        <is>
          <t>BOOK</t>
        </is>
      </c>
      <c r="BC267" t="inlineStr">
        <is>
          <t>32285002791019</t>
        </is>
      </c>
      <c r="BD267" t="inlineStr">
        <is>
          <t>893520951</t>
        </is>
      </c>
    </row>
    <row r="268">
      <c r="A268" t="inlineStr">
        <is>
          <t>No</t>
        </is>
      </c>
      <c r="B268" t="inlineStr">
        <is>
          <t>QD151 .G52 NO. 49 PT. B3</t>
        </is>
      </c>
      <c r="C268" t="inlineStr">
        <is>
          <t>0                      QD 0151000G  52                                                      NO. 49 PT. B3</t>
        </is>
      </c>
      <c r="D268" t="inlineStr">
        <is>
          <t>Gmelins Handbuch der anorganischen chemie.</t>
        </is>
      </c>
      <c r="E268" t="inlineStr">
        <is>
          <t>NO. 49 PT. B3*</t>
        </is>
      </c>
      <c r="F268" t="inlineStr">
        <is>
          <t>Yes</t>
        </is>
      </c>
      <c r="G268" t="inlineStr">
        <is>
          <t>1</t>
        </is>
      </c>
      <c r="H268" t="inlineStr">
        <is>
          <t>No</t>
        </is>
      </c>
      <c r="I268" t="inlineStr">
        <is>
          <t>No</t>
        </is>
      </c>
      <c r="J268" t="inlineStr">
        <is>
          <t>0</t>
        </is>
      </c>
      <c r="L268" t="inlineStr">
        <is>
          <t>Leipzig-Berlin, Verlag Chemie g.m.b.h., 1924-</t>
        </is>
      </c>
      <c r="M268" t="inlineStr">
        <is>
          <t>1924</t>
        </is>
      </c>
      <c r="N268" t="inlineStr">
        <is>
          <t>8. aufl. Hrsg. von der Deutschen chemischen gesellschaft, bearb. von R.J. Meyer, unter beratender mitwirkung von Franz Peters.</t>
        </is>
      </c>
      <c r="O268" t="inlineStr">
        <is>
          <t>ger</t>
        </is>
      </c>
      <c r="P268" t="inlineStr">
        <is>
          <t xml:space="preserve">xx </t>
        </is>
      </c>
      <c r="R268" t="inlineStr">
        <is>
          <t xml:space="preserve">QD </t>
        </is>
      </c>
      <c r="S268" t="n">
        <v>1</v>
      </c>
      <c r="T268" t="n">
        <v>324</v>
      </c>
      <c r="U268" t="inlineStr">
        <is>
          <t>1998-07-27</t>
        </is>
      </c>
      <c r="V268" t="inlineStr">
        <is>
          <t>1998-07-28</t>
        </is>
      </c>
      <c r="W268" t="inlineStr">
        <is>
          <t>1997-06-05</t>
        </is>
      </c>
      <c r="X268" t="inlineStr">
        <is>
          <t>1998-06-24</t>
        </is>
      </c>
      <c r="Y268" t="n">
        <v>259</v>
      </c>
      <c r="Z268" t="n">
        <v>221</v>
      </c>
      <c r="AA268" t="n">
        <v>223</v>
      </c>
      <c r="AB268" t="n">
        <v>2</v>
      </c>
      <c r="AC268" t="n">
        <v>2</v>
      </c>
      <c r="AD268" t="n">
        <v>10</v>
      </c>
      <c r="AE268" t="n">
        <v>10</v>
      </c>
      <c r="AF268" t="n">
        <v>2</v>
      </c>
      <c r="AG268" t="n">
        <v>2</v>
      </c>
      <c r="AH268" t="n">
        <v>2</v>
      </c>
      <c r="AI268" t="n">
        <v>2</v>
      </c>
      <c r="AJ268" t="n">
        <v>8</v>
      </c>
      <c r="AK268" t="n">
        <v>8</v>
      </c>
      <c r="AL268" t="n">
        <v>1</v>
      </c>
      <c r="AM268" t="n">
        <v>1</v>
      </c>
      <c r="AN268" t="n">
        <v>0</v>
      </c>
      <c r="AO268" t="n">
        <v>0</v>
      </c>
      <c r="AP268" t="inlineStr">
        <is>
          <t>No</t>
        </is>
      </c>
      <c r="AQ268" t="inlineStr">
        <is>
          <t>Yes</t>
        </is>
      </c>
      <c r="AR268">
        <f>HYPERLINK("http://catalog.hathitrust.org/Record/009932175","HathiTrust Record")</f>
        <v/>
      </c>
      <c r="AS268">
        <f>HYPERLINK("https://creighton-primo.hosted.exlibrisgroup.com/primo-explore/search?tab=default_tab&amp;search_scope=EVERYTHING&amp;vid=01CRU&amp;lang=en_US&amp;offset=0&amp;query=any,contains,991005356889702656","Catalog Record")</f>
        <v/>
      </c>
      <c r="AT268">
        <f>HYPERLINK("http://www.worldcat.org/oclc/802031","WorldCat Record")</f>
        <v/>
      </c>
      <c r="AU268" t="inlineStr">
        <is>
          <t>4924721893:ger</t>
        </is>
      </c>
      <c r="AV268" t="inlineStr">
        <is>
          <t>802031</t>
        </is>
      </c>
      <c r="AW268" t="inlineStr">
        <is>
          <t>991005356889702656</t>
        </is>
      </c>
      <c r="AX268" t="inlineStr">
        <is>
          <t>991005356889702656</t>
        </is>
      </c>
      <c r="AY268" t="inlineStr">
        <is>
          <t>2270552310002656</t>
        </is>
      </c>
      <c r="AZ268" t="inlineStr">
        <is>
          <t>BOOK</t>
        </is>
      </c>
      <c r="BC268" t="inlineStr">
        <is>
          <t>32285002791027</t>
        </is>
      </c>
      <c r="BD268" t="inlineStr">
        <is>
          <t>893533625</t>
        </is>
      </c>
    </row>
    <row r="269">
      <c r="A269" t="inlineStr">
        <is>
          <t>No</t>
        </is>
      </c>
      <c r="B269" t="inlineStr">
        <is>
          <t>QD151 .G52 NO. 49 PT. B4</t>
        </is>
      </c>
      <c r="C269" t="inlineStr">
        <is>
          <t>0                      QD 0151000G  52                                                      NO. 49 PT. B4</t>
        </is>
      </c>
      <c r="D269" t="inlineStr">
        <is>
          <t>Gmelins Handbuch der anorganischen chemie.</t>
        </is>
      </c>
      <c r="E269" t="inlineStr">
        <is>
          <t>NO. 49 PT. B4*</t>
        </is>
      </c>
      <c r="F269" t="inlineStr">
        <is>
          <t>Yes</t>
        </is>
      </c>
      <c r="G269" t="inlineStr">
        <is>
          <t>1</t>
        </is>
      </c>
      <c r="H269" t="inlineStr">
        <is>
          <t>No</t>
        </is>
      </c>
      <c r="I269" t="inlineStr">
        <is>
          <t>No</t>
        </is>
      </c>
      <c r="J269" t="inlineStr">
        <is>
          <t>0</t>
        </is>
      </c>
      <c r="L269" t="inlineStr">
        <is>
          <t>Leipzig-Berlin, Verlag Chemie g.m.b.h., 1924-</t>
        </is>
      </c>
      <c r="M269" t="inlineStr">
        <is>
          <t>1924</t>
        </is>
      </c>
      <c r="N269" t="inlineStr">
        <is>
          <t>8. aufl. Hrsg. von der Deutschen chemischen gesellschaft, bearb. von R.J. Meyer, unter beratender mitwirkung von Franz Peters.</t>
        </is>
      </c>
      <c r="O269" t="inlineStr">
        <is>
          <t>ger</t>
        </is>
      </c>
      <c r="P269" t="inlineStr">
        <is>
          <t xml:space="preserve">xx </t>
        </is>
      </c>
      <c r="R269" t="inlineStr">
        <is>
          <t xml:space="preserve">QD </t>
        </is>
      </c>
      <c r="S269" t="n">
        <v>1</v>
      </c>
      <c r="T269" t="n">
        <v>324</v>
      </c>
      <c r="U269" t="inlineStr">
        <is>
          <t>1998-07-27</t>
        </is>
      </c>
      <c r="V269" t="inlineStr">
        <is>
          <t>1998-07-28</t>
        </is>
      </c>
      <c r="W269" t="inlineStr">
        <is>
          <t>1997-06-05</t>
        </is>
      </c>
      <c r="X269" t="inlineStr">
        <is>
          <t>1998-06-24</t>
        </is>
      </c>
      <c r="Y269" t="n">
        <v>259</v>
      </c>
      <c r="Z269" t="n">
        <v>221</v>
      </c>
      <c r="AA269" t="n">
        <v>223</v>
      </c>
      <c r="AB269" t="n">
        <v>2</v>
      </c>
      <c r="AC269" t="n">
        <v>2</v>
      </c>
      <c r="AD269" t="n">
        <v>10</v>
      </c>
      <c r="AE269" t="n">
        <v>10</v>
      </c>
      <c r="AF269" t="n">
        <v>2</v>
      </c>
      <c r="AG269" t="n">
        <v>2</v>
      </c>
      <c r="AH269" t="n">
        <v>2</v>
      </c>
      <c r="AI269" t="n">
        <v>2</v>
      </c>
      <c r="AJ269" t="n">
        <v>8</v>
      </c>
      <c r="AK269" t="n">
        <v>8</v>
      </c>
      <c r="AL269" t="n">
        <v>1</v>
      </c>
      <c r="AM269" t="n">
        <v>1</v>
      </c>
      <c r="AN269" t="n">
        <v>0</v>
      </c>
      <c r="AO269" t="n">
        <v>0</v>
      </c>
      <c r="AP269" t="inlineStr">
        <is>
          <t>No</t>
        </is>
      </c>
      <c r="AQ269" t="inlineStr">
        <is>
          <t>Yes</t>
        </is>
      </c>
      <c r="AR269">
        <f>HYPERLINK("http://catalog.hathitrust.org/Record/009932175","HathiTrust Record")</f>
        <v/>
      </c>
      <c r="AS269">
        <f>HYPERLINK("https://creighton-primo.hosted.exlibrisgroup.com/primo-explore/search?tab=default_tab&amp;search_scope=EVERYTHING&amp;vid=01CRU&amp;lang=en_US&amp;offset=0&amp;query=any,contains,991005356889702656","Catalog Record")</f>
        <v/>
      </c>
      <c r="AT269">
        <f>HYPERLINK("http://www.worldcat.org/oclc/802031","WorldCat Record")</f>
        <v/>
      </c>
      <c r="AU269" t="inlineStr">
        <is>
          <t>4924721893:ger</t>
        </is>
      </c>
      <c r="AV269" t="inlineStr">
        <is>
          <t>802031</t>
        </is>
      </c>
      <c r="AW269" t="inlineStr">
        <is>
          <t>991005356889702656</t>
        </is>
      </c>
      <c r="AX269" t="inlineStr">
        <is>
          <t>991005356889702656</t>
        </is>
      </c>
      <c r="AY269" t="inlineStr">
        <is>
          <t>2270552310002656</t>
        </is>
      </c>
      <c r="AZ269" t="inlineStr">
        <is>
          <t>BOOK</t>
        </is>
      </c>
      <c r="BC269" t="inlineStr">
        <is>
          <t>32285002791035</t>
        </is>
      </c>
      <c r="BD269" t="inlineStr">
        <is>
          <t>893533624</t>
        </is>
      </c>
    </row>
    <row r="270">
      <c r="A270" t="inlineStr">
        <is>
          <t>No</t>
        </is>
      </c>
      <c r="B270" t="inlineStr">
        <is>
          <t>QD151 .G52 NO. 5</t>
        </is>
      </c>
      <c r="C270" t="inlineStr">
        <is>
          <t>0                      QD 0151000G  52                                                      NO. 5</t>
        </is>
      </c>
      <c r="D270" t="inlineStr">
        <is>
          <t>Gmelins Handbuch der anorganischen chemie.</t>
        </is>
      </c>
      <c r="E270" t="inlineStr">
        <is>
          <t>NO. 5*</t>
        </is>
      </c>
      <c r="F270" t="inlineStr">
        <is>
          <t>Yes</t>
        </is>
      </c>
      <c r="G270" t="inlineStr">
        <is>
          <t>1</t>
        </is>
      </c>
      <c r="H270" t="inlineStr">
        <is>
          <t>No</t>
        </is>
      </c>
      <c r="I270" t="inlineStr">
        <is>
          <t>No</t>
        </is>
      </c>
      <c r="J270" t="inlineStr">
        <is>
          <t>0</t>
        </is>
      </c>
      <c r="L270" t="inlineStr">
        <is>
          <t>Leipzig-Berlin, Verlag Chemie g.m.b.h., 1924-</t>
        </is>
      </c>
      <c r="M270" t="inlineStr">
        <is>
          <t>1924</t>
        </is>
      </c>
      <c r="N270" t="inlineStr">
        <is>
          <t>8. aufl. Hrsg. von der Deutschen chemischen gesellschaft, bearb. von R.J. Meyer, unter beratender mitwirkung von Franz Peters.</t>
        </is>
      </c>
      <c r="O270" t="inlineStr">
        <is>
          <t>ger</t>
        </is>
      </c>
      <c r="P270" t="inlineStr">
        <is>
          <t xml:space="preserve">xx </t>
        </is>
      </c>
      <c r="R270" t="inlineStr">
        <is>
          <t xml:space="preserve">QD </t>
        </is>
      </c>
      <c r="S270" t="n">
        <v>1</v>
      </c>
      <c r="T270" t="n">
        <v>324</v>
      </c>
      <c r="U270" t="inlineStr">
        <is>
          <t>1998-07-27</t>
        </is>
      </c>
      <c r="V270" t="inlineStr">
        <is>
          <t>1998-07-28</t>
        </is>
      </c>
      <c r="W270" t="inlineStr">
        <is>
          <t>1997-06-02</t>
        </is>
      </c>
      <c r="X270" t="inlineStr">
        <is>
          <t>1998-06-24</t>
        </is>
      </c>
      <c r="Y270" t="n">
        <v>259</v>
      </c>
      <c r="Z270" t="n">
        <v>221</v>
      </c>
      <c r="AA270" t="n">
        <v>223</v>
      </c>
      <c r="AB270" t="n">
        <v>2</v>
      </c>
      <c r="AC270" t="n">
        <v>2</v>
      </c>
      <c r="AD270" t="n">
        <v>10</v>
      </c>
      <c r="AE270" t="n">
        <v>10</v>
      </c>
      <c r="AF270" t="n">
        <v>2</v>
      </c>
      <c r="AG270" t="n">
        <v>2</v>
      </c>
      <c r="AH270" t="n">
        <v>2</v>
      </c>
      <c r="AI270" t="n">
        <v>2</v>
      </c>
      <c r="AJ270" t="n">
        <v>8</v>
      </c>
      <c r="AK270" t="n">
        <v>8</v>
      </c>
      <c r="AL270" t="n">
        <v>1</v>
      </c>
      <c r="AM270" t="n">
        <v>1</v>
      </c>
      <c r="AN270" t="n">
        <v>0</v>
      </c>
      <c r="AO270" t="n">
        <v>0</v>
      </c>
      <c r="AP270" t="inlineStr">
        <is>
          <t>No</t>
        </is>
      </c>
      <c r="AQ270" t="inlineStr">
        <is>
          <t>Yes</t>
        </is>
      </c>
      <c r="AR270">
        <f>HYPERLINK("http://catalog.hathitrust.org/Record/009932175","HathiTrust Record")</f>
        <v/>
      </c>
      <c r="AS270">
        <f>HYPERLINK("https://creighton-primo.hosted.exlibrisgroup.com/primo-explore/search?tab=default_tab&amp;search_scope=EVERYTHING&amp;vid=01CRU&amp;lang=en_US&amp;offset=0&amp;query=any,contains,991005356889702656","Catalog Record")</f>
        <v/>
      </c>
      <c r="AT270">
        <f>HYPERLINK("http://www.worldcat.org/oclc/802031","WorldCat Record")</f>
        <v/>
      </c>
      <c r="AU270" t="inlineStr">
        <is>
          <t>4924721893:ger</t>
        </is>
      </c>
      <c r="AV270" t="inlineStr">
        <is>
          <t>802031</t>
        </is>
      </c>
      <c r="AW270" t="inlineStr">
        <is>
          <t>991005356889702656</t>
        </is>
      </c>
      <c r="AX270" t="inlineStr">
        <is>
          <t>991005356889702656</t>
        </is>
      </c>
      <c r="AY270" t="inlineStr">
        <is>
          <t>2270552310002656</t>
        </is>
      </c>
      <c r="AZ270" t="inlineStr">
        <is>
          <t>BOOK</t>
        </is>
      </c>
      <c r="BC270" t="inlineStr">
        <is>
          <t>32285002779253</t>
        </is>
      </c>
      <c r="BD270" t="inlineStr">
        <is>
          <t>893520985</t>
        </is>
      </c>
    </row>
    <row r="271">
      <c r="A271" t="inlineStr">
        <is>
          <t>No</t>
        </is>
      </c>
      <c r="B271" t="inlineStr">
        <is>
          <t>QD151 .G52 NO. 5 SECT. 5</t>
        </is>
      </c>
      <c r="C271" t="inlineStr">
        <is>
          <t>0                      QD 0151000G  52                                                      NO. 5 SECT. 5</t>
        </is>
      </c>
      <c r="D271" t="inlineStr">
        <is>
          <t>Gmelins Handbuch der anorganischen chemie.</t>
        </is>
      </c>
      <c r="E271" t="inlineStr">
        <is>
          <t>NO. 5 SECT. 5*</t>
        </is>
      </c>
      <c r="F271" t="inlineStr">
        <is>
          <t>Yes</t>
        </is>
      </c>
      <c r="G271" t="inlineStr">
        <is>
          <t>1</t>
        </is>
      </c>
      <c r="H271" t="inlineStr">
        <is>
          <t>No</t>
        </is>
      </c>
      <c r="I271" t="inlineStr">
        <is>
          <t>No</t>
        </is>
      </c>
      <c r="J271" t="inlineStr">
        <is>
          <t>0</t>
        </is>
      </c>
      <c r="L271" t="inlineStr">
        <is>
          <t>Leipzig-Berlin, Verlag Chemie g.m.b.h., 1924-</t>
        </is>
      </c>
      <c r="M271" t="inlineStr">
        <is>
          <t>1924</t>
        </is>
      </c>
      <c r="N271" t="inlineStr">
        <is>
          <t>8. aufl. Hrsg. von der Deutschen chemischen gesellschaft, bearb. von R.J. Meyer, unter beratender mitwirkung von Franz Peters.</t>
        </is>
      </c>
      <c r="O271" t="inlineStr">
        <is>
          <t>ger</t>
        </is>
      </c>
      <c r="P271" t="inlineStr">
        <is>
          <t xml:space="preserve">xx </t>
        </is>
      </c>
      <c r="R271" t="inlineStr">
        <is>
          <t xml:space="preserve">QD </t>
        </is>
      </c>
      <c r="S271" t="n">
        <v>1</v>
      </c>
      <c r="T271" t="n">
        <v>324</v>
      </c>
      <c r="U271" t="inlineStr">
        <is>
          <t>1998-07-27</t>
        </is>
      </c>
      <c r="V271" t="inlineStr">
        <is>
          <t>1998-07-28</t>
        </is>
      </c>
      <c r="W271" t="inlineStr">
        <is>
          <t>1997-06-09</t>
        </is>
      </c>
      <c r="X271" t="inlineStr">
        <is>
          <t>1998-06-24</t>
        </is>
      </c>
      <c r="Y271" t="n">
        <v>259</v>
      </c>
      <c r="Z271" t="n">
        <v>221</v>
      </c>
      <c r="AA271" t="n">
        <v>223</v>
      </c>
      <c r="AB271" t="n">
        <v>2</v>
      </c>
      <c r="AC271" t="n">
        <v>2</v>
      </c>
      <c r="AD271" t="n">
        <v>10</v>
      </c>
      <c r="AE271" t="n">
        <v>10</v>
      </c>
      <c r="AF271" t="n">
        <v>2</v>
      </c>
      <c r="AG271" t="n">
        <v>2</v>
      </c>
      <c r="AH271" t="n">
        <v>2</v>
      </c>
      <c r="AI271" t="n">
        <v>2</v>
      </c>
      <c r="AJ271" t="n">
        <v>8</v>
      </c>
      <c r="AK271" t="n">
        <v>8</v>
      </c>
      <c r="AL271" t="n">
        <v>1</v>
      </c>
      <c r="AM271" t="n">
        <v>1</v>
      </c>
      <c r="AN271" t="n">
        <v>0</v>
      </c>
      <c r="AO271" t="n">
        <v>0</v>
      </c>
      <c r="AP271" t="inlineStr">
        <is>
          <t>No</t>
        </is>
      </c>
      <c r="AQ271" t="inlineStr">
        <is>
          <t>Yes</t>
        </is>
      </c>
      <c r="AR271">
        <f>HYPERLINK("http://catalog.hathitrust.org/Record/009932175","HathiTrust Record")</f>
        <v/>
      </c>
      <c r="AS271">
        <f>HYPERLINK("https://creighton-primo.hosted.exlibrisgroup.com/primo-explore/search?tab=default_tab&amp;search_scope=EVERYTHING&amp;vid=01CRU&amp;lang=en_US&amp;offset=0&amp;query=any,contains,991005356889702656","Catalog Record")</f>
        <v/>
      </c>
      <c r="AT271">
        <f>HYPERLINK("http://www.worldcat.org/oclc/802031","WorldCat Record")</f>
        <v/>
      </c>
      <c r="AU271" t="inlineStr">
        <is>
          <t>4924721893:ger</t>
        </is>
      </c>
      <c r="AV271" t="inlineStr">
        <is>
          <t>802031</t>
        </is>
      </c>
      <c r="AW271" t="inlineStr">
        <is>
          <t>991005356889702656</t>
        </is>
      </c>
      <c r="AX271" t="inlineStr">
        <is>
          <t>991005356889702656</t>
        </is>
      </c>
      <c r="AY271" t="inlineStr">
        <is>
          <t>2270552310002656</t>
        </is>
      </c>
      <c r="AZ271" t="inlineStr">
        <is>
          <t>BOOK</t>
        </is>
      </c>
      <c r="BC271" t="inlineStr">
        <is>
          <t>32285002779261</t>
        </is>
      </c>
      <c r="BD271" t="inlineStr">
        <is>
          <t>893533623</t>
        </is>
      </c>
    </row>
    <row r="272">
      <c r="A272" t="inlineStr">
        <is>
          <t>No</t>
        </is>
      </c>
      <c r="B272" t="inlineStr">
        <is>
          <t>QD151 .G52 NO. 5 SUPP.</t>
        </is>
      </c>
      <c r="C272" t="inlineStr">
        <is>
          <t>0                      QD 0151000G  52                                                      NO. 5 SUPP.</t>
        </is>
      </c>
      <c r="D272" t="inlineStr">
        <is>
          <t>Gmelins Handbuch der anorganischen chemie.</t>
        </is>
      </c>
      <c r="E272" t="inlineStr">
        <is>
          <t>NO. 5 SUPP.*</t>
        </is>
      </c>
      <c r="F272" t="inlineStr">
        <is>
          <t>Yes</t>
        </is>
      </c>
      <c r="G272" t="inlineStr">
        <is>
          <t>1</t>
        </is>
      </c>
      <c r="H272" t="inlineStr">
        <is>
          <t>No</t>
        </is>
      </c>
      <c r="I272" t="inlineStr">
        <is>
          <t>No</t>
        </is>
      </c>
      <c r="J272" t="inlineStr">
        <is>
          <t>0</t>
        </is>
      </c>
      <c r="L272" t="inlineStr">
        <is>
          <t>Leipzig-Berlin, Verlag Chemie g.m.b.h., 1924-</t>
        </is>
      </c>
      <c r="M272" t="inlineStr">
        <is>
          <t>1924</t>
        </is>
      </c>
      <c r="N272" t="inlineStr">
        <is>
          <t>8. aufl. Hrsg. von der Deutschen chemischen gesellschaft, bearb. von R.J. Meyer, unter beratender mitwirkung von Franz Peters.</t>
        </is>
      </c>
      <c r="O272" t="inlineStr">
        <is>
          <t>ger</t>
        </is>
      </c>
      <c r="P272" t="inlineStr">
        <is>
          <t xml:space="preserve">xx </t>
        </is>
      </c>
      <c r="R272" t="inlineStr">
        <is>
          <t xml:space="preserve">QD </t>
        </is>
      </c>
      <c r="S272" t="n">
        <v>1</v>
      </c>
      <c r="T272" t="n">
        <v>324</v>
      </c>
      <c r="U272" t="inlineStr">
        <is>
          <t>1998-07-27</t>
        </is>
      </c>
      <c r="V272" t="inlineStr">
        <is>
          <t>1998-07-28</t>
        </is>
      </c>
      <c r="W272" t="inlineStr">
        <is>
          <t>1997-06-02</t>
        </is>
      </c>
      <c r="X272" t="inlineStr">
        <is>
          <t>1998-06-24</t>
        </is>
      </c>
      <c r="Y272" t="n">
        <v>259</v>
      </c>
      <c r="Z272" t="n">
        <v>221</v>
      </c>
      <c r="AA272" t="n">
        <v>223</v>
      </c>
      <c r="AB272" t="n">
        <v>2</v>
      </c>
      <c r="AC272" t="n">
        <v>2</v>
      </c>
      <c r="AD272" t="n">
        <v>10</v>
      </c>
      <c r="AE272" t="n">
        <v>10</v>
      </c>
      <c r="AF272" t="n">
        <v>2</v>
      </c>
      <c r="AG272" t="n">
        <v>2</v>
      </c>
      <c r="AH272" t="n">
        <v>2</v>
      </c>
      <c r="AI272" t="n">
        <v>2</v>
      </c>
      <c r="AJ272" t="n">
        <v>8</v>
      </c>
      <c r="AK272" t="n">
        <v>8</v>
      </c>
      <c r="AL272" t="n">
        <v>1</v>
      </c>
      <c r="AM272" t="n">
        <v>1</v>
      </c>
      <c r="AN272" t="n">
        <v>0</v>
      </c>
      <c r="AO272" t="n">
        <v>0</v>
      </c>
      <c r="AP272" t="inlineStr">
        <is>
          <t>No</t>
        </is>
      </c>
      <c r="AQ272" t="inlineStr">
        <is>
          <t>Yes</t>
        </is>
      </c>
      <c r="AR272">
        <f>HYPERLINK("http://catalog.hathitrust.org/Record/009932175","HathiTrust Record")</f>
        <v/>
      </c>
      <c r="AS272">
        <f>HYPERLINK("https://creighton-primo.hosted.exlibrisgroup.com/primo-explore/search?tab=default_tab&amp;search_scope=EVERYTHING&amp;vid=01CRU&amp;lang=en_US&amp;offset=0&amp;query=any,contains,991005356889702656","Catalog Record")</f>
        <v/>
      </c>
      <c r="AT272">
        <f>HYPERLINK("http://www.worldcat.org/oclc/802031","WorldCat Record")</f>
        <v/>
      </c>
      <c r="AU272" t="inlineStr">
        <is>
          <t>4924721893:ger</t>
        </is>
      </c>
      <c r="AV272" t="inlineStr">
        <is>
          <t>802031</t>
        </is>
      </c>
      <c r="AW272" t="inlineStr">
        <is>
          <t>991005356889702656</t>
        </is>
      </c>
      <c r="AX272" t="inlineStr">
        <is>
          <t>991005356889702656</t>
        </is>
      </c>
      <c r="AY272" t="inlineStr">
        <is>
          <t>2270552310002656</t>
        </is>
      </c>
      <c r="AZ272" t="inlineStr">
        <is>
          <t>BOOK</t>
        </is>
      </c>
      <c r="BC272" t="inlineStr">
        <is>
          <t>32285002779279</t>
        </is>
      </c>
      <c r="BD272" t="inlineStr">
        <is>
          <t>893520986</t>
        </is>
      </c>
    </row>
    <row r="273">
      <c r="A273" t="inlineStr">
        <is>
          <t>No</t>
        </is>
      </c>
      <c r="B273" t="inlineStr">
        <is>
          <t>QD151 .G52 NO. 50 PT. A1</t>
        </is>
      </c>
      <c r="C273" t="inlineStr">
        <is>
          <t>0                      QD 0151000G  52                                                      NO. 50 PT. A1</t>
        </is>
      </c>
      <c r="D273" t="inlineStr">
        <is>
          <t>Gmelins Handbuch der anorganischen chemie.</t>
        </is>
      </c>
      <c r="E273" t="inlineStr">
        <is>
          <t>NO. 50 PT. A1*</t>
        </is>
      </c>
      <c r="F273" t="inlineStr">
        <is>
          <t>Yes</t>
        </is>
      </c>
      <c r="G273" t="inlineStr">
        <is>
          <t>1</t>
        </is>
      </c>
      <c r="H273" t="inlineStr">
        <is>
          <t>No</t>
        </is>
      </c>
      <c r="I273" t="inlineStr">
        <is>
          <t>No</t>
        </is>
      </c>
      <c r="J273" t="inlineStr">
        <is>
          <t>0</t>
        </is>
      </c>
      <c r="L273" t="inlineStr">
        <is>
          <t>Leipzig-Berlin, Verlag Chemie g.m.b.h., 1924-</t>
        </is>
      </c>
      <c r="M273" t="inlineStr">
        <is>
          <t>1924</t>
        </is>
      </c>
      <c r="N273" t="inlineStr">
        <is>
          <t>8. aufl. Hrsg. von der Deutschen chemischen gesellschaft, bearb. von R.J. Meyer, unter beratender mitwirkung von Franz Peters.</t>
        </is>
      </c>
      <c r="O273" t="inlineStr">
        <is>
          <t>ger</t>
        </is>
      </c>
      <c r="P273" t="inlineStr">
        <is>
          <t xml:space="preserve">xx </t>
        </is>
      </c>
      <c r="R273" t="inlineStr">
        <is>
          <t xml:space="preserve">QD </t>
        </is>
      </c>
      <c r="S273" t="n">
        <v>1</v>
      </c>
      <c r="T273" t="n">
        <v>324</v>
      </c>
      <c r="U273" t="inlineStr">
        <is>
          <t>1998-07-27</t>
        </is>
      </c>
      <c r="V273" t="inlineStr">
        <is>
          <t>1998-07-28</t>
        </is>
      </c>
      <c r="W273" t="inlineStr">
        <is>
          <t>1997-06-05</t>
        </is>
      </c>
      <c r="X273" t="inlineStr">
        <is>
          <t>1998-06-24</t>
        </is>
      </c>
      <c r="Y273" t="n">
        <v>259</v>
      </c>
      <c r="Z273" t="n">
        <v>221</v>
      </c>
      <c r="AA273" t="n">
        <v>223</v>
      </c>
      <c r="AB273" t="n">
        <v>2</v>
      </c>
      <c r="AC273" t="n">
        <v>2</v>
      </c>
      <c r="AD273" t="n">
        <v>10</v>
      </c>
      <c r="AE273" t="n">
        <v>10</v>
      </c>
      <c r="AF273" t="n">
        <v>2</v>
      </c>
      <c r="AG273" t="n">
        <v>2</v>
      </c>
      <c r="AH273" t="n">
        <v>2</v>
      </c>
      <c r="AI273" t="n">
        <v>2</v>
      </c>
      <c r="AJ273" t="n">
        <v>8</v>
      </c>
      <c r="AK273" t="n">
        <v>8</v>
      </c>
      <c r="AL273" t="n">
        <v>1</v>
      </c>
      <c r="AM273" t="n">
        <v>1</v>
      </c>
      <c r="AN273" t="n">
        <v>0</v>
      </c>
      <c r="AO273" t="n">
        <v>0</v>
      </c>
      <c r="AP273" t="inlineStr">
        <is>
          <t>No</t>
        </is>
      </c>
      <c r="AQ273" t="inlineStr">
        <is>
          <t>Yes</t>
        </is>
      </c>
      <c r="AR273">
        <f>HYPERLINK("http://catalog.hathitrust.org/Record/009932175","HathiTrust Record")</f>
        <v/>
      </c>
      <c r="AS273">
        <f>HYPERLINK("https://creighton-primo.hosted.exlibrisgroup.com/primo-explore/search?tab=default_tab&amp;search_scope=EVERYTHING&amp;vid=01CRU&amp;lang=en_US&amp;offset=0&amp;query=any,contains,991005356889702656","Catalog Record")</f>
        <v/>
      </c>
      <c r="AT273">
        <f>HYPERLINK("http://www.worldcat.org/oclc/802031","WorldCat Record")</f>
        <v/>
      </c>
      <c r="AU273" t="inlineStr">
        <is>
          <t>4924721893:ger</t>
        </is>
      </c>
      <c r="AV273" t="inlineStr">
        <is>
          <t>802031</t>
        </is>
      </c>
      <c r="AW273" t="inlineStr">
        <is>
          <t>991005356889702656</t>
        </is>
      </c>
      <c r="AX273" t="inlineStr">
        <is>
          <t>991005356889702656</t>
        </is>
      </c>
      <c r="AY273" t="inlineStr">
        <is>
          <t>2270552310002656</t>
        </is>
      </c>
      <c r="AZ273" t="inlineStr">
        <is>
          <t>BOOK</t>
        </is>
      </c>
      <c r="BC273" t="inlineStr">
        <is>
          <t>32285002791043</t>
        </is>
      </c>
      <c r="BD273" t="inlineStr">
        <is>
          <t>893508084</t>
        </is>
      </c>
    </row>
    <row r="274">
      <c r="A274" t="inlineStr">
        <is>
          <t>No</t>
        </is>
      </c>
      <c r="B274" t="inlineStr">
        <is>
          <t>QD151 .G52 NO. 50 PT. A2</t>
        </is>
      </c>
      <c r="C274" t="inlineStr">
        <is>
          <t>0                      QD 0151000G  52                                                      NO. 50 PT. A2</t>
        </is>
      </c>
      <c r="D274" t="inlineStr">
        <is>
          <t>Gmelins Handbuch der anorganischen chemie.</t>
        </is>
      </c>
      <c r="E274" t="inlineStr">
        <is>
          <t>NO. 50 PT. A2*</t>
        </is>
      </c>
      <c r="F274" t="inlineStr">
        <is>
          <t>Yes</t>
        </is>
      </c>
      <c r="G274" t="inlineStr">
        <is>
          <t>1</t>
        </is>
      </c>
      <c r="H274" t="inlineStr">
        <is>
          <t>No</t>
        </is>
      </c>
      <c r="I274" t="inlineStr">
        <is>
          <t>No</t>
        </is>
      </c>
      <c r="J274" t="inlineStr">
        <is>
          <t>0</t>
        </is>
      </c>
      <c r="L274" t="inlineStr">
        <is>
          <t>Leipzig-Berlin, Verlag Chemie g.m.b.h., 1924-</t>
        </is>
      </c>
      <c r="M274" t="inlineStr">
        <is>
          <t>1924</t>
        </is>
      </c>
      <c r="N274" t="inlineStr">
        <is>
          <t>8. aufl. Hrsg. von der Deutschen chemischen gesellschaft, bearb. von R.J. Meyer, unter beratender mitwirkung von Franz Peters.</t>
        </is>
      </c>
      <c r="O274" t="inlineStr">
        <is>
          <t>ger</t>
        </is>
      </c>
      <c r="P274" t="inlineStr">
        <is>
          <t xml:space="preserve">xx </t>
        </is>
      </c>
      <c r="R274" t="inlineStr">
        <is>
          <t xml:space="preserve">QD </t>
        </is>
      </c>
      <c r="S274" t="n">
        <v>1</v>
      </c>
      <c r="T274" t="n">
        <v>324</v>
      </c>
      <c r="U274" t="inlineStr">
        <is>
          <t>1998-07-27</t>
        </is>
      </c>
      <c r="V274" t="inlineStr">
        <is>
          <t>1998-07-28</t>
        </is>
      </c>
      <c r="W274" t="inlineStr">
        <is>
          <t>1997-06-05</t>
        </is>
      </c>
      <c r="X274" t="inlineStr">
        <is>
          <t>1998-06-24</t>
        </is>
      </c>
      <c r="Y274" t="n">
        <v>259</v>
      </c>
      <c r="Z274" t="n">
        <v>221</v>
      </c>
      <c r="AA274" t="n">
        <v>223</v>
      </c>
      <c r="AB274" t="n">
        <v>2</v>
      </c>
      <c r="AC274" t="n">
        <v>2</v>
      </c>
      <c r="AD274" t="n">
        <v>10</v>
      </c>
      <c r="AE274" t="n">
        <v>10</v>
      </c>
      <c r="AF274" t="n">
        <v>2</v>
      </c>
      <c r="AG274" t="n">
        <v>2</v>
      </c>
      <c r="AH274" t="n">
        <v>2</v>
      </c>
      <c r="AI274" t="n">
        <v>2</v>
      </c>
      <c r="AJ274" t="n">
        <v>8</v>
      </c>
      <c r="AK274" t="n">
        <v>8</v>
      </c>
      <c r="AL274" t="n">
        <v>1</v>
      </c>
      <c r="AM274" t="n">
        <v>1</v>
      </c>
      <c r="AN274" t="n">
        <v>0</v>
      </c>
      <c r="AO274" t="n">
        <v>0</v>
      </c>
      <c r="AP274" t="inlineStr">
        <is>
          <t>No</t>
        </is>
      </c>
      <c r="AQ274" t="inlineStr">
        <is>
          <t>Yes</t>
        </is>
      </c>
      <c r="AR274">
        <f>HYPERLINK("http://catalog.hathitrust.org/Record/009932175","HathiTrust Record")</f>
        <v/>
      </c>
      <c r="AS274">
        <f>HYPERLINK("https://creighton-primo.hosted.exlibrisgroup.com/primo-explore/search?tab=default_tab&amp;search_scope=EVERYTHING&amp;vid=01CRU&amp;lang=en_US&amp;offset=0&amp;query=any,contains,991005356889702656","Catalog Record")</f>
        <v/>
      </c>
      <c r="AT274">
        <f>HYPERLINK("http://www.worldcat.org/oclc/802031","WorldCat Record")</f>
        <v/>
      </c>
      <c r="AU274" t="inlineStr">
        <is>
          <t>4924721893:ger</t>
        </is>
      </c>
      <c r="AV274" t="inlineStr">
        <is>
          <t>802031</t>
        </is>
      </c>
      <c r="AW274" t="inlineStr">
        <is>
          <t>991005356889702656</t>
        </is>
      </c>
      <c r="AX274" t="inlineStr">
        <is>
          <t>991005356889702656</t>
        </is>
      </c>
      <c r="AY274" t="inlineStr">
        <is>
          <t>2270552310002656</t>
        </is>
      </c>
      <c r="AZ274" t="inlineStr">
        <is>
          <t>BOOK</t>
        </is>
      </c>
      <c r="BC274" t="inlineStr">
        <is>
          <t>32285002791050</t>
        </is>
      </c>
      <c r="BD274" t="inlineStr">
        <is>
          <t>893520984</t>
        </is>
      </c>
    </row>
    <row r="275">
      <c r="A275" t="inlineStr">
        <is>
          <t>No</t>
        </is>
      </c>
      <c r="B275" t="inlineStr">
        <is>
          <t>QD151 .G52 NO. 50 PT. A3</t>
        </is>
      </c>
      <c r="C275" t="inlineStr">
        <is>
          <t>0                      QD 0151000G  52                                                      NO. 50 PT. A3</t>
        </is>
      </c>
      <c r="D275" t="inlineStr">
        <is>
          <t>Gmelins Handbuch der anorganischen chemie.</t>
        </is>
      </c>
      <c r="E275" t="inlineStr">
        <is>
          <t>NO. 50 PT. A3*</t>
        </is>
      </c>
      <c r="F275" t="inlineStr">
        <is>
          <t>Yes</t>
        </is>
      </c>
      <c r="G275" t="inlineStr">
        <is>
          <t>1</t>
        </is>
      </c>
      <c r="H275" t="inlineStr">
        <is>
          <t>No</t>
        </is>
      </c>
      <c r="I275" t="inlineStr">
        <is>
          <t>No</t>
        </is>
      </c>
      <c r="J275" t="inlineStr">
        <is>
          <t>0</t>
        </is>
      </c>
      <c r="L275" t="inlineStr">
        <is>
          <t>Leipzig-Berlin, Verlag Chemie g.m.b.h., 1924-</t>
        </is>
      </c>
      <c r="M275" t="inlineStr">
        <is>
          <t>1924</t>
        </is>
      </c>
      <c r="N275" t="inlineStr">
        <is>
          <t>8. aufl. Hrsg. von der Deutschen chemischen gesellschaft, bearb. von R.J. Meyer, unter beratender mitwirkung von Franz Peters.</t>
        </is>
      </c>
      <c r="O275" t="inlineStr">
        <is>
          <t>ger</t>
        </is>
      </c>
      <c r="P275" t="inlineStr">
        <is>
          <t xml:space="preserve">xx </t>
        </is>
      </c>
      <c r="R275" t="inlineStr">
        <is>
          <t xml:space="preserve">QD </t>
        </is>
      </c>
      <c r="S275" t="n">
        <v>1</v>
      </c>
      <c r="T275" t="n">
        <v>324</v>
      </c>
      <c r="U275" t="inlineStr">
        <is>
          <t>1998-07-27</t>
        </is>
      </c>
      <c r="V275" t="inlineStr">
        <is>
          <t>1998-07-28</t>
        </is>
      </c>
      <c r="W275" t="inlineStr">
        <is>
          <t>1997-06-09</t>
        </is>
      </c>
      <c r="X275" t="inlineStr">
        <is>
          <t>1998-06-24</t>
        </is>
      </c>
      <c r="Y275" t="n">
        <v>259</v>
      </c>
      <c r="Z275" t="n">
        <v>221</v>
      </c>
      <c r="AA275" t="n">
        <v>223</v>
      </c>
      <c r="AB275" t="n">
        <v>2</v>
      </c>
      <c r="AC275" t="n">
        <v>2</v>
      </c>
      <c r="AD275" t="n">
        <v>10</v>
      </c>
      <c r="AE275" t="n">
        <v>10</v>
      </c>
      <c r="AF275" t="n">
        <v>2</v>
      </c>
      <c r="AG275" t="n">
        <v>2</v>
      </c>
      <c r="AH275" t="n">
        <v>2</v>
      </c>
      <c r="AI275" t="n">
        <v>2</v>
      </c>
      <c r="AJ275" t="n">
        <v>8</v>
      </c>
      <c r="AK275" t="n">
        <v>8</v>
      </c>
      <c r="AL275" t="n">
        <v>1</v>
      </c>
      <c r="AM275" t="n">
        <v>1</v>
      </c>
      <c r="AN275" t="n">
        <v>0</v>
      </c>
      <c r="AO275" t="n">
        <v>0</v>
      </c>
      <c r="AP275" t="inlineStr">
        <is>
          <t>No</t>
        </is>
      </c>
      <c r="AQ275" t="inlineStr">
        <is>
          <t>Yes</t>
        </is>
      </c>
      <c r="AR275">
        <f>HYPERLINK("http://catalog.hathitrust.org/Record/009932175","HathiTrust Record")</f>
        <v/>
      </c>
      <c r="AS275">
        <f>HYPERLINK("https://creighton-primo.hosted.exlibrisgroup.com/primo-explore/search?tab=default_tab&amp;search_scope=EVERYTHING&amp;vid=01CRU&amp;lang=en_US&amp;offset=0&amp;query=any,contains,991005356889702656","Catalog Record")</f>
        <v/>
      </c>
      <c r="AT275">
        <f>HYPERLINK("http://www.worldcat.org/oclc/802031","WorldCat Record")</f>
        <v/>
      </c>
      <c r="AU275" t="inlineStr">
        <is>
          <t>4924721893:ger</t>
        </is>
      </c>
      <c r="AV275" t="inlineStr">
        <is>
          <t>802031</t>
        </is>
      </c>
      <c r="AW275" t="inlineStr">
        <is>
          <t>991005356889702656</t>
        </is>
      </c>
      <c r="AX275" t="inlineStr">
        <is>
          <t>991005356889702656</t>
        </is>
      </c>
      <c r="AY275" t="inlineStr">
        <is>
          <t>2270552310002656</t>
        </is>
      </c>
      <c r="AZ275" t="inlineStr">
        <is>
          <t>BOOK</t>
        </is>
      </c>
      <c r="BC275" t="inlineStr">
        <is>
          <t>32285002791068</t>
        </is>
      </c>
      <c r="BD275" t="inlineStr">
        <is>
          <t>893514549</t>
        </is>
      </c>
    </row>
    <row r="276">
      <c r="A276" t="inlineStr">
        <is>
          <t>No</t>
        </is>
      </c>
      <c r="B276" t="inlineStr">
        <is>
          <t>QD151 .G52 NO. 50 PT. B1</t>
        </is>
      </c>
      <c r="C276" t="inlineStr">
        <is>
          <t>0                      QD 0151000G  52                                                      NO. 50 PT. B1</t>
        </is>
      </c>
      <c r="D276" t="inlineStr">
        <is>
          <t>Gmelins Handbuch der anorganischen chemie.</t>
        </is>
      </c>
      <c r="E276" t="inlineStr">
        <is>
          <t>NO. 50 PT. B1*</t>
        </is>
      </c>
      <c r="F276" t="inlineStr">
        <is>
          <t>Yes</t>
        </is>
      </c>
      <c r="G276" t="inlineStr">
        <is>
          <t>1</t>
        </is>
      </c>
      <c r="H276" t="inlineStr">
        <is>
          <t>No</t>
        </is>
      </c>
      <c r="I276" t="inlineStr">
        <is>
          <t>No</t>
        </is>
      </c>
      <c r="J276" t="inlineStr">
        <is>
          <t>0</t>
        </is>
      </c>
      <c r="L276" t="inlineStr">
        <is>
          <t>Leipzig-Berlin, Verlag Chemie g.m.b.h., 1924-</t>
        </is>
      </c>
      <c r="M276" t="inlineStr">
        <is>
          <t>1924</t>
        </is>
      </c>
      <c r="N276" t="inlineStr">
        <is>
          <t>8. aufl. Hrsg. von der Deutschen chemischen gesellschaft, bearb. von R.J. Meyer, unter beratender mitwirkung von Franz Peters.</t>
        </is>
      </c>
      <c r="O276" t="inlineStr">
        <is>
          <t>ger</t>
        </is>
      </c>
      <c r="P276" t="inlineStr">
        <is>
          <t xml:space="preserve">xx </t>
        </is>
      </c>
      <c r="R276" t="inlineStr">
        <is>
          <t xml:space="preserve">QD </t>
        </is>
      </c>
      <c r="S276" t="n">
        <v>1</v>
      </c>
      <c r="T276" t="n">
        <v>324</v>
      </c>
      <c r="U276" t="inlineStr">
        <is>
          <t>1998-07-27</t>
        </is>
      </c>
      <c r="V276" t="inlineStr">
        <is>
          <t>1998-07-28</t>
        </is>
      </c>
      <c r="W276" t="inlineStr">
        <is>
          <t>1997-06-05</t>
        </is>
      </c>
      <c r="X276" t="inlineStr">
        <is>
          <t>1998-06-24</t>
        </is>
      </c>
      <c r="Y276" t="n">
        <v>259</v>
      </c>
      <c r="Z276" t="n">
        <v>221</v>
      </c>
      <c r="AA276" t="n">
        <v>223</v>
      </c>
      <c r="AB276" t="n">
        <v>2</v>
      </c>
      <c r="AC276" t="n">
        <v>2</v>
      </c>
      <c r="AD276" t="n">
        <v>10</v>
      </c>
      <c r="AE276" t="n">
        <v>10</v>
      </c>
      <c r="AF276" t="n">
        <v>2</v>
      </c>
      <c r="AG276" t="n">
        <v>2</v>
      </c>
      <c r="AH276" t="n">
        <v>2</v>
      </c>
      <c r="AI276" t="n">
        <v>2</v>
      </c>
      <c r="AJ276" t="n">
        <v>8</v>
      </c>
      <c r="AK276" t="n">
        <v>8</v>
      </c>
      <c r="AL276" t="n">
        <v>1</v>
      </c>
      <c r="AM276" t="n">
        <v>1</v>
      </c>
      <c r="AN276" t="n">
        <v>0</v>
      </c>
      <c r="AO276" t="n">
        <v>0</v>
      </c>
      <c r="AP276" t="inlineStr">
        <is>
          <t>No</t>
        </is>
      </c>
      <c r="AQ276" t="inlineStr">
        <is>
          <t>Yes</t>
        </is>
      </c>
      <c r="AR276">
        <f>HYPERLINK("http://catalog.hathitrust.org/Record/009932175","HathiTrust Record")</f>
        <v/>
      </c>
      <c r="AS276">
        <f>HYPERLINK("https://creighton-primo.hosted.exlibrisgroup.com/primo-explore/search?tab=default_tab&amp;search_scope=EVERYTHING&amp;vid=01CRU&amp;lang=en_US&amp;offset=0&amp;query=any,contains,991005356889702656","Catalog Record")</f>
        <v/>
      </c>
      <c r="AT276">
        <f>HYPERLINK("http://www.worldcat.org/oclc/802031","WorldCat Record")</f>
        <v/>
      </c>
      <c r="AU276" t="inlineStr">
        <is>
          <t>4924721893:ger</t>
        </is>
      </c>
      <c r="AV276" t="inlineStr">
        <is>
          <t>802031</t>
        </is>
      </c>
      <c r="AW276" t="inlineStr">
        <is>
          <t>991005356889702656</t>
        </is>
      </c>
      <c r="AX276" t="inlineStr">
        <is>
          <t>991005356889702656</t>
        </is>
      </c>
      <c r="AY276" t="inlineStr">
        <is>
          <t>2270552310002656</t>
        </is>
      </c>
      <c r="AZ276" t="inlineStr">
        <is>
          <t>BOOK</t>
        </is>
      </c>
      <c r="BC276" t="inlineStr">
        <is>
          <t>32285002791076</t>
        </is>
      </c>
      <c r="BD276" t="inlineStr">
        <is>
          <t>893508083</t>
        </is>
      </c>
    </row>
    <row r="277">
      <c r="A277" t="inlineStr">
        <is>
          <t>No</t>
        </is>
      </c>
      <c r="B277" t="inlineStr">
        <is>
          <t>QD151 .G52 NO. 50 PT. B2</t>
        </is>
      </c>
      <c r="C277" t="inlineStr">
        <is>
          <t>0                      QD 0151000G  52                                                      NO. 50 PT. B2</t>
        </is>
      </c>
      <c r="D277" t="inlineStr">
        <is>
          <t>Gmelins Handbuch der anorganischen chemie.</t>
        </is>
      </c>
      <c r="E277" t="inlineStr">
        <is>
          <t>NO. 50 PT. B2*</t>
        </is>
      </c>
      <c r="F277" t="inlineStr">
        <is>
          <t>Yes</t>
        </is>
      </c>
      <c r="G277" t="inlineStr">
        <is>
          <t>1</t>
        </is>
      </c>
      <c r="H277" t="inlineStr">
        <is>
          <t>No</t>
        </is>
      </c>
      <c r="I277" t="inlineStr">
        <is>
          <t>No</t>
        </is>
      </c>
      <c r="J277" t="inlineStr">
        <is>
          <t>0</t>
        </is>
      </c>
      <c r="L277" t="inlineStr">
        <is>
          <t>Leipzig-Berlin, Verlag Chemie g.m.b.h., 1924-</t>
        </is>
      </c>
      <c r="M277" t="inlineStr">
        <is>
          <t>1924</t>
        </is>
      </c>
      <c r="N277" t="inlineStr">
        <is>
          <t>8. aufl. Hrsg. von der Deutschen chemischen gesellschaft, bearb. von R.J. Meyer, unter beratender mitwirkung von Franz Peters.</t>
        </is>
      </c>
      <c r="O277" t="inlineStr">
        <is>
          <t>ger</t>
        </is>
      </c>
      <c r="P277" t="inlineStr">
        <is>
          <t xml:space="preserve">xx </t>
        </is>
      </c>
      <c r="R277" t="inlineStr">
        <is>
          <t xml:space="preserve">QD </t>
        </is>
      </c>
      <c r="S277" t="n">
        <v>1</v>
      </c>
      <c r="T277" t="n">
        <v>324</v>
      </c>
      <c r="U277" t="inlineStr">
        <is>
          <t>1998-07-27</t>
        </is>
      </c>
      <c r="V277" t="inlineStr">
        <is>
          <t>1998-07-28</t>
        </is>
      </c>
      <c r="W277" t="inlineStr">
        <is>
          <t>1997-06-05</t>
        </is>
      </c>
      <c r="X277" t="inlineStr">
        <is>
          <t>1998-06-24</t>
        </is>
      </c>
      <c r="Y277" t="n">
        <v>259</v>
      </c>
      <c r="Z277" t="n">
        <v>221</v>
      </c>
      <c r="AA277" t="n">
        <v>223</v>
      </c>
      <c r="AB277" t="n">
        <v>2</v>
      </c>
      <c r="AC277" t="n">
        <v>2</v>
      </c>
      <c r="AD277" t="n">
        <v>10</v>
      </c>
      <c r="AE277" t="n">
        <v>10</v>
      </c>
      <c r="AF277" t="n">
        <v>2</v>
      </c>
      <c r="AG277" t="n">
        <v>2</v>
      </c>
      <c r="AH277" t="n">
        <v>2</v>
      </c>
      <c r="AI277" t="n">
        <v>2</v>
      </c>
      <c r="AJ277" t="n">
        <v>8</v>
      </c>
      <c r="AK277" t="n">
        <v>8</v>
      </c>
      <c r="AL277" t="n">
        <v>1</v>
      </c>
      <c r="AM277" t="n">
        <v>1</v>
      </c>
      <c r="AN277" t="n">
        <v>0</v>
      </c>
      <c r="AO277" t="n">
        <v>0</v>
      </c>
      <c r="AP277" t="inlineStr">
        <is>
          <t>No</t>
        </is>
      </c>
      <c r="AQ277" t="inlineStr">
        <is>
          <t>Yes</t>
        </is>
      </c>
      <c r="AR277">
        <f>HYPERLINK("http://catalog.hathitrust.org/Record/009932175","HathiTrust Record")</f>
        <v/>
      </c>
      <c r="AS277">
        <f>HYPERLINK("https://creighton-primo.hosted.exlibrisgroup.com/primo-explore/search?tab=default_tab&amp;search_scope=EVERYTHING&amp;vid=01CRU&amp;lang=en_US&amp;offset=0&amp;query=any,contains,991005356889702656","Catalog Record")</f>
        <v/>
      </c>
      <c r="AT277">
        <f>HYPERLINK("http://www.worldcat.org/oclc/802031","WorldCat Record")</f>
        <v/>
      </c>
      <c r="AU277" t="inlineStr">
        <is>
          <t>4924721893:ger</t>
        </is>
      </c>
      <c r="AV277" t="inlineStr">
        <is>
          <t>802031</t>
        </is>
      </c>
      <c r="AW277" t="inlineStr">
        <is>
          <t>991005356889702656</t>
        </is>
      </c>
      <c r="AX277" t="inlineStr">
        <is>
          <t>991005356889702656</t>
        </is>
      </c>
      <c r="AY277" t="inlineStr">
        <is>
          <t>2270552310002656</t>
        </is>
      </c>
      <c r="AZ277" t="inlineStr">
        <is>
          <t>BOOK</t>
        </is>
      </c>
      <c r="BC277" t="inlineStr">
        <is>
          <t>32285002791084</t>
        </is>
      </c>
      <c r="BD277" t="inlineStr">
        <is>
          <t>893520950</t>
        </is>
      </c>
    </row>
    <row r="278">
      <c r="A278" t="inlineStr">
        <is>
          <t>No</t>
        </is>
      </c>
      <c r="B278" t="inlineStr">
        <is>
          <t>QD151 .G52 NO. 51</t>
        </is>
      </c>
      <c r="C278" t="inlineStr">
        <is>
          <t>0                      QD 0151000G  52                                                      NO. 51</t>
        </is>
      </c>
      <c r="D278" t="inlineStr">
        <is>
          <t>Gmelins Handbuch der anorganischen chemie.</t>
        </is>
      </c>
      <c r="E278" t="inlineStr">
        <is>
          <t>NO. 51*</t>
        </is>
      </c>
      <c r="F278" t="inlineStr">
        <is>
          <t>Yes</t>
        </is>
      </c>
      <c r="G278" t="inlineStr">
        <is>
          <t>1</t>
        </is>
      </c>
      <c r="H278" t="inlineStr">
        <is>
          <t>No</t>
        </is>
      </c>
      <c r="I278" t="inlineStr">
        <is>
          <t>No</t>
        </is>
      </c>
      <c r="J278" t="inlineStr">
        <is>
          <t>0</t>
        </is>
      </c>
      <c r="L278" t="inlineStr">
        <is>
          <t>Leipzig-Berlin, Verlag Chemie g.m.b.h., 1924-</t>
        </is>
      </c>
      <c r="M278" t="inlineStr">
        <is>
          <t>1924</t>
        </is>
      </c>
      <c r="N278" t="inlineStr">
        <is>
          <t>8. aufl. Hrsg. von der Deutschen chemischen gesellschaft, bearb. von R.J. Meyer, unter beratender mitwirkung von Franz Peters.</t>
        </is>
      </c>
      <c r="O278" t="inlineStr">
        <is>
          <t>ger</t>
        </is>
      </c>
      <c r="P278" t="inlineStr">
        <is>
          <t xml:space="preserve">xx </t>
        </is>
      </c>
      <c r="R278" t="inlineStr">
        <is>
          <t xml:space="preserve">QD </t>
        </is>
      </c>
      <c r="S278" t="n">
        <v>1</v>
      </c>
      <c r="T278" t="n">
        <v>324</v>
      </c>
      <c r="U278" t="inlineStr">
        <is>
          <t>1998-07-27</t>
        </is>
      </c>
      <c r="V278" t="inlineStr">
        <is>
          <t>1998-07-28</t>
        </is>
      </c>
      <c r="W278" t="inlineStr">
        <is>
          <t>1997-06-05</t>
        </is>
      </c>
      <c r="X278" t="inlineStr">
        <is>
          <t>1998-06-24</t>
        </is>
      </c>
      <c r="Y278" t="n">
        <v>259</v>
      </c>
      <c r="Z278" t="n">
        <v>221</v>
      </c>
      <c r="AA278" t="n">
        <v>223</v>
      </c>
      <c r="AB278" t="n">
        <v>2</v>
      </c>
      <c r="AC278" t="n">
        <v>2</v>
      </c>
      <c r="AD278" t="n">
        <v>10</v>
      </c>
      <c r="AE278" t="n">
        <v>10</v>
      </c>
      <c r="AF278" t="n">
        <v>2</v>
      </c>
      <c r="AG278" t="n">
        <v>2</v>
      </c>
      <c r="AH278" t="n">
        <v>2</v>
      </c>
      <c r="AI278" t="n">
        <v>2</v>
      </c>
      <c r="AJ278" t="n">
        <v>8</v>
      </c>
      <c r="AK278" t="n">
        <v>8</v>
      </c>
      <c r="AL278" t="n">
        <v>1</v>
      </c>
      <c r="AM278" t="n">
        <v>1</v>
      </c>
      <c r="AN278" t="n">
        <v>0</v>
      </c>
      <c r="AO278" t="n">
        <v>0</v>
      </c>
      <c r="AP278" t="inlineStr">
        <is>
          <t>No</t>
        </is>
      </c>
      <c r="AQ278" t="inlineStr">
        <is>
          <t>Yes</t>
        </is>
      </c>
      <c r="AR278">
        <f>HYPERLINK("http://catalog.hathitrust.org/Record/009932175","HathiTrust Record")</f>
        <v/>
      </c>
      <c r="AS278">
        <f>HYPERLINK("https://creighton-primo.hosted.exlibrisgroup.com/primo-explore/search?tab=default_tab&amp;search_scope=EVERYTHING&amp;vid=01CRU&amp;lang=en_US&amp;offset=0&amp;query=any,contains,991005356889702656","Catalog Record")</f>
        <v/>
      </c>
      <c r="AT278">
        <f>HYPERLINK("http://www.worldcat.org/oclc/802031","WorldCat Record")</f>
        <v/>
      </c>
      <c r="AU278" t="inlineStr">
        <is>
          <t>4924721893:ger</t>
        </is>
      </c>
      <c r="AV278" t="inlineStr">
        <is>
          <t>802031</t>
        </is>
      </c>
      <c r="AW278" t="inlineStr">
        <is>
          <t>991005356889702656</t>
        </is>
      </c>
      <c r="AX278" t="inlineStr">
        <is>
          <t>991005356889702656</t>
        </is>
      </c>
      <c r="AY278" t="inlineStr">
        <is>
          <t>2270552310002656</t>
        </is>
      </c>
      <c r="AZ278" t="inlineStr">
        <is>
          <t>BOOK</t>
        </is>
      </c>
      <c r="BC278" t="inlineStr">
        <is>
          <t>32285002791100</t>
        </is>
      </c>
      <c r="BD278" t="inlineStr">
        <is>
          <t>893520983</t>
        </is>
      </c>
    </row>
    <row r="279">
      <c r="A279" t="inlineStr">
        <is>
          <t>No</t>
        </is>
      </c>
      <c r="B279" t="inlineStr">
        <is>
          <t>QD151 .G52 NO. 51 SUPP. 1</t>
        </is>
      </c>
      <c r="C279" t="inlineStr">
        <is>
          <t>0                      QD 0151000G  52                                                      NO. 51 SUPP. 1</t>
        </is>
      </c>
      <c r="D279" t="inlineStr">
        <is>
          <t>Gmelins Handbuch der anorganischen chemie.</t>
        </is>
      </c>
      <c r="E279" t="inlineStr">
        <is>
          <t>NO. 51 SUPP. 1*</t>
        </is>
      </c>
      <c r="F279" t="inlineStr">
        <is>
          <t>Yes</t>
        </is>
      </c>
      <c r="G279" t="inlineStr">
        <is>
          <t>1</t>
        </is>
      </c>
      <c r="H279" t="inlineStr">
        <is>
          <t>No</t>
        </is>
      </c>
      <c r="I279" t="inlineStr">
        <is>
          <t>No</t>
        </is>
      </c>
      <c r="J279" t="inlineStr">
        <is>
          <t>0</t>
        </is>
      </c>
      <c r="L279" t="inlineStr">
        <is>
          <t>Leipzig-Berlin, Verlag Chemie g.m.b.h., 1924-</t>
        </is>
      </c>
      <c r="M279" t="inlineStr">
        <is>
          <t>1924</t>
        </is>
      </c>
      <c r="N279" t="inlineStr">
        <is>
          <t>8. aufl. Hrsg. von der Deutschen chemischen gesellschaft, bearb. von R.J. Meyer, unter beratender mitwirkung von Franz Peters.</t>
        </is>
      </c>
      <c r="O279" t="inlineStr">
        <is>
          <t>ger</t>
        </is>
      </c>
      <c r="P279" t="inlineStr">
        <is>
          <t xml:space="preserve">xx </t>
        </is>
      </c>
      <c r="R279" t="inlineStr">
        <is>
          <t xml:space="preserve">QD </t>
        </is>
      </c>
      <c r="S279" t="n">
        <v>1</v>
      </c>
      <c r="T279" t="n">
        <v>324</v>
      </c>
      <c r="U279" t="inlineStr">
        <is>
          <t>1998-07-27</t>
        </is>
      </c>
      <c r="V279" t="inlineStr">
        <is>
          <t>1998-07-28</t>
        </is>
      </c>
      <c r="W279" t="inlineStr">
        <is>
          <t>1997-06-05</t>
        </is>
      </c>
      <c r="X279" t="inlineStr">
        <is>
          <t>1998-06-24</t>
        </is>
      </c>
      <c r="Y279" t="n">
        <v>259</v>
      </c>
      <c r="Z279" t="n">
        <v>221</v>
      </c>
      <c r="AA279" t="n">
        <v>223</v>
      </c>
      <c r="AB279" t="n">
        <v>2</v>
      </c>
      <c r="AC279" t="n">
        <v>2</v>
      </c>
      <c r="AD279" t="n">
        <v>10</v>
      </c>
      <c r="AE279" t="n">
        <v>10</v>
      </c>
      <c r="AF279" t="n">
        <v>2</v>
      </c>
      <c r="AG279" t="n">
        <v>2</v>
      </c>
      <c r="AH279" t="n">
        <v>2</v>
      </c>
      <c r="AI279" t="n">
        <v>2</v>
      </c>
      <c r="AJ279" t="n">
        <v>8</v>
      </c>
      <c r="AK279" t="n">
        <v>8</v>
      </c>
      <c r="AL279" t="n">
        <v>1</v>
      </c>
      <c r="AM279" t="n">
        <v>1</v>
      </c>
      <c r="AN279" t="n">
        <v>0</v>
      </c>
      <c r="AO279" t="n">
        <v>0</v>
      </c>
      <c r="AP279" t="inlineStr">
        <is>
          <t>No</t>
        </is>
      </c>
      <c r="AQ279" t="inlineStr">
        <is>
          <t>Yes</t>
        </is>
      </c>
      <c r="AR279">
        <f>HYPERLINK("http://catalog.hathitrust.org/Record/009932175","HathiTrust Record")</f>
        <v/>
      </c>
      <c r="AS279">
        <f>HYPERLINK("https://creighton-primo.hosted.exlibrisgroup.com/primo-explore/search?tab=default_tab&amp;search_scope=EVERYTHING&amp;vid=01CRU&amp;lang=en_US&amp;offset=0&amp;query=any,contains,991005356889702656","Catalog Record")</f>
        <v/>
      </c>
      <c r="AT279">
        <f>HYPERLINK("http://www.worldcat.org/oclc/802031","WorldCat Record")</f>
        <v/>
      </c>
      <c r="AU279" t="inlineStr">
        <is>
          <t>4924721893:ger</t>
        </is>
      </c>
      <c r="AV279" t="inlineStr">
        <is>
          <t>802031</t>
        </is>
      </c>
      <c r="AW279" t="inlineStr">
        <is>
          <t>991005356889702656</t>
        </is>
      </c>
      <c r="AX279" t="inlineStr">
        <is>
          <t>991005356889702656</t>
        </is>
      </c>
      <c r="AY279" t="inlineStr">
        <is>
          <t>2270552310002656</t>
        </is>
      </c>
      <c r="AZ279" t="inlineStr">
        <is>
          <t>BOOK</t>
        </is>
      </c>
      <c r="BC279" t="inlineStr">
        <is>
          <t>32285002791118</t>
        </is>
      </c>
      <c r="BD279" t="inlineStr">
        <is>
          <t>893527448</t>
        </is>
      </c>
    </row>
    <row r="280">
      <c r="A280" t="inlineStr">
        <is>
          <t>No</t>
        </is>
      </c>
      <c r="B280" t="inlineStr">
        <is>
          <t>QD151 .G52 NO. 51 SUPP. 2</t>
        </is>
      </c>
      <c r="C280" t="inlineStr">
        <is>
          <t>0                      QD 0151000G  52                                                      NO. 51 SUPP. 2</t>
        </is>
      </c>
      <c r="D280" t="inlineStr">
        <is>
          <t>Gmelins Handbuch der anorganischen chemie.</t>
        </is>
      </c>
      <c r="E280" t="inlineStr">
        <is>
          <t>NO. 51 SUPP. 2*</t>
        </is>
      </c>
      <c r="F280" t="inlineStr">
        <is>
          <t>Yes</t>
        </is>
      </c>
      <c r="G280" t="inlineStr">
        <is>
          <t>1</t>
        </is>
      </c>
      <c r="H280" t="inlineStr">
        <is>
          <t>No</t>
        </is>
      </c>
      <c r="I280" t="inlineStr">
        <is>
          <t>No</t>
        </is>
      </c>
      <c r="J280" t="inlineStr">
        <is>
          <t>0</t>
        </is>
      </c>
      <c r="L280" t="inlineStr">
        <is>
          <t>Leipzig-Berlin, Verlag Chemie g.m.b.h., 1924-</t>
        </is>
      </c>
      <c r="M280" t="inlineStr">
        <is>
          <t>1924</t>
        </is>
      </c>
      <c r="N280" t="inlineStr">
        <is>
          <t>8. aufl. Hrsg. von der Deutschen chemischen gesellschaft, bearb. von R.J. Meyer, unter beratender mitwirkung von Franz Peters.</t>
        </is>
      </c>
      <c r="O280" t="inlineStr">
        <is>
          <t>ger</t>
        </is>
      </c>
      <c r="P280" t="inlineStr">
        <is>
          <t xml:space="preserve">xx </t>
        </is>
      </c>
      <c r="R280" t="inlineStr">
        <is>
          <t xml:space="preserve">QD </t>
        </is>
      </c>
      <c r="S280" t="n">
        <v>1</v>
      </c>
      <c r="T280" t="n">
        <v>324</v>
      </c>
      <c r="U280" t="inlineStr">
        <is>
          <t>1998-07-27</t>
        </is>
      </c>
      <c r="V280" t="inlineStr">
        <is>
          <t>1998-07-28</t>
        </is>
      </c>
      <c r="W280" t="inlineStr">
        <is>
          <t>1997-06-09</t>
        </is>
      </c>
      <c r="X280" t="inlineStr">
        <is>
          <t>1998-06-24</t>
        </is>
      </c>
      <c r="Y280" t="n">
        <v>259</v>
      </c>
      <c r="Z280" t="n">
        <v>221</v>
      </c>
      <c r="AA280" t="n">
        <v>223</v>
      </c>
      <c r="AB280" t="n">
        <v>2</v>
      </c>
      <c r="AC280" t="n">
        <v>2</v>
      </c>
      <c r="AD280" t="n">
        <v>10</v>
      </c>
      <c r="AE280" t="n">
        <v>10</v>
      </c>
      <c r="AF280" t="n">
        <v>2</v>
      </c>
      <c r="AG280" t="n">
        <v>2</v>
      </c>
      <c r="AH280" t="n">
        <v>2</v>
      </c>
      <c r="AI280" t="n">
        <v>2</v>
      </c>
      <c r="AJ280" t="n">
        <v>8</v>
      </c>
      <c r="AK280" t="n">
        <v>8</v>
      </c>
      <c r="AL280" t="n">
        <v>1</v>
      </c>
      <c r="AM280" t="n">
        <v>1</v>
      </c>
      <c r="AN280" t="n">
        <v>0</v>
      </c>
      <c r="AO280" t="n">
        <v>0</v>
      </c>
      <c r="AP280" t="inlineStr">
        <is>
          <t>No</t>
        </is>
      </c>
      <c r="AQ280" t="inlineStr">
        <is>
          <t>Yes</t>
        </is>
      </c>
      <c r="AR280">
        <f>HYPERLINK("http://catalog.hathitrust.org/Record/009932175","HathiTrust Record")</f>
        <v/>
      </c>
      <c r="AS280">
        <f>HYPERLINK("https://creighton-primo.hosted.exlibrisgroup.com/primo-explore/search?tab=default_tab&amp;search_scope=EVERYTHING&amp;vid=01CRU&amp;lang=en_US&amp;offset=0&amp;query=any,contains,991005356889702656","Catalog Record")</f>
        <v/>
      </c>
      <c r="AT280">
        <f>HYPERLINK("http://www.worldcat.org/oclc/802031","WorldCat Record")</f>
        <v/>
      </c>
      <c r="AU280" t="inlineStr">
        <is>
          <t>4924721893:ger</t>
        </is>
      </c>
      <c r="AV280" t="inlineStr">
        <is>
          <t>802031</t>
        </is>
      </c>
      <c r="AW280" t="inlineStr">
        <is>
          <t>991005356889702656</t>
        </is>
      </c>
      <c r="AX280" t="inlineStr">
        <is>
          <t>991005356889702656</t>
        </is>
      </c>
      <c r="AY280" t="inlineStr">
        <is>
          <t>2270552310002656</t>
        </is>
      </c>
      <c r="AZ280" t="inlineStr">
        <is>
          <t>BOOK</t>
        </is>
      </c>
      <c r="BC280" t="inlineStr">
        <is>
          <t>32285002791126</t>
        </is>
      </c>
      <c r="BD280" t="inlineStr">
        <is>
          <t>893514548</t>
        </is>
      </c>
    </row>
    <row r="281">
      <c r="A281" t="inlineStr">
        <is>
          <t>No</t>
        </is>
      </c>
      <c r="B281" t="inlineStr">
        <is>
          <t>QD151 .G52 NO. 52 PT. A1</t>
        </is>
      </c>
      <c r="C281" t="inlineStr">
        <is>
          <t>0                      QD 0151000G  52                                                      NO. 52 PT. A1</t>
        </is>
      </c>
      <c r="D281" t="inlineStr">
        <is>
          <t>Gmelins Handbuch der anorganischen chemie.</t>
        </is>
      </c>
      <c r="E281" t="inlineStr">
        <is>
          <t>NO. 52 PT. A1*</t>
        </is>
      </c>
      <c r="F281" t="inlineStr">
        <is>
          <t>Yes</t>
        </is>
      </c>
      <c r="G281" t="inlineStr">
        <is>
          <t>1</t>
        </is>
      </c>
      <c r="H281" t="inlineStr">
        <is>
          <t>No</t>
        </is>
      </c>
      <c r="I281" t="inlineStr">
        <is>
          <t>No</t>
        </is>
      </c>
      <c r="J281" t="inlineStr">
        <is>
          <t>0</t>
        </is>
      </c>
      <c r="L281" t="inlineStr">
        <is>
          <t>Leipzig-Berlin, Verlag Chemie g.m.b.h., 1924-</t>
        </is>
      </c>
      <c r="M281" t="inlineStr">
        <is>
          <t>1924</t>
        </is>
      </c>
      <c r="N281" t="inlineStr">
        <is>
          <t>8. aufl. Hrsg. von der Deutschen chemischen gesellschaft, bearb. von R.J. Meyer, unter beratender mitwirkung von Franz Peters.</t>
        </is>
      </c>
      <c r="O281" t="inlineStr">
        <is>
          <t>ger</t>
        </is>
      </c>
      <c r="P281" t="inlineStr">
        <is>
          <t xml:space="preserve">xx </t>
        </is>
      </c>
      <c r="R281" t="inlineStr">
        <is>
          <t xml:space="preserve">QD </t>
        </is>
      </c>
      <c r="S281" t="n">
        <v>1</v>
      </c>
      <c r="T281" t="n">
        <v>324</v>
      </c>
      <c r="U281" t="inlineStr">
        <is>
          <t>1998-07-27</t>
        </is>
      </c>
      <c r="V281" t="inlineStr">
        <is>
          <t>1998-07-28</t>
        </is>
      </c>
      <c r="W281" t="inlineStr">
        <is>
          <t>1997-06-05</t>
        </is>
      </c>
      <c r="X281" t="inlineStr">
        <is>
          <t>1998-06-24</t>
        </is>
      </c>
      <c r="Y281" t="n">
        <v>259</v>
      </c>
      <c r="Z281" t="n">
        <v>221</v>
      </c>
      <c r="AA281" t="n">
        <v>223</v>
      </c>
      <c r="AB281" t="n">
        <v>2</v>
      </c>
      <c r="AC281" t="n">
        <v>2</v>
      </c>
      <c r="AD281" t="n">
        <v>10</v>
      </c>
      <c r="AE281" t="n">
        <v>10</v>
      </c>
      <c r="AF281" t="n">
        <v>2</v>
      </c>
      <c r="AG281" t="n">
        <v>2</v>
      </c>
      <c r="AH281" t="n">
        <v>2</v>
      </c>
      <c r="AI281" t="n">
        <v>2</v>
      </c>
      <c r="AJ281" t="n">
        <v>8</v>
      </c>
      <c r="AK281" t="n">
        <v>8</v>
      </c>
      <c r="AL281" t="n">
        <v>1</v>
      </c>
      <c r="AM281" t="n">
        <v>1</v>
      </c>
      <c r="AN281" t="n">
        <v>0</v>
      </c>
      <c r="AO281" t="n">
        <v>0</v>
      </c>
      <c r="AP281" t="inlineStr">
        <is>
          <t>No</t>
        </is>
      </c>
      <c r="AQ281" t="inlineStr">
        <is>
          <t>Yes</t>
        </is>
      </c>
      <c r="AR281">
        <f>HYPERLINK("http://catalog.hathitrust.org/Record/009932175","HathiTrust Record")</f>
        <v/>
      </c>
      <c r="AS281">
        <f>HYPERLINK("https://creighton-primo.hosted.exlibrisgroup.com/primo-explore/search?tab=default_tab&amp;search_scope=EVERYTHING&amp;vid=01CRU&amp;lang=en_US&amp;offset=0&amp;query=any,contains,991005356889702656","Catalog Record")</f>
        <v/>
      </c>
      <c r="AT281">
        <f>HYPERLINK("http://www.worldcat.org/oclc/802031","WorldCat Record")</f>
        <v/>
      </c>
      <c r="AU281" t="inlineStr">
        <is>
          <t>4924721893:ger</t>
        </is>
      </c>
      <c r="AV281" t="inlineStr">
        <is>
          <t>802031</t>
        </is>
      </c>
      <c r="AW281" t="inlineStr">
        <is>
          <t>991005356889702656</t>
        </is>
      </c>
      <c r="AX281" t="inlineStr">
        <is>
          <t>991005356889702656</t>
        </is>
      </c>
      <c r="AY281" t="inlineStr">
        <is>
          <t>2270552310002656</t>
        </is>
      </c>
      <c r="AZ281" t="inlineStr">
        <is>
          <t>BOOK</t>
        </is>
      </c>
      <c r="BC281" t="inlineStr">
        <is>
          <t>32285002791134</t>
        </is>
      </c>
      <c r="BD281" t="inlineStr">
        <is>
          <t>893527447</t>
        </is>
      </c>
    </row>
    <row r="282">
      <c r="A282" t="inlineStr">
        <is>
          <t>No</t>
        </is>
      </c>
      <c r="B282" t="inlineStr">
        <is>
          <t>QD151 .G52 NO. 52 PT. A2</t>
        </is>
      </c>
      <c r="C282" t="inlineStr">
        <is>
          <t>0                      QD 0151000G  52                                                      NO. 52 PT. A2</t>
        </is>
      </c>
      <c r="D282" t="inlineStr">
        <is>
          <t>Gmelins Handbuch der anorganischen chemie.</t>
        </is>
      </c>
      <c r="E282" t="inlineStr">
        <is>
          <t>NO. 52 PT. A2*</t>
        </is>
      </c>
      <c r="F282" t="inlineStr">
        <is>
          <t>Yes</t>
        </is>
      </c>
      <c r="G282" t="inlineStr">
        <is>
          <t>1</t>
        </is>
      </c>
      <c r="H282" t="inlineStr">
        <is>
          <t>No</t>
        </is>
      </c>
      <c r="I282" t="inlineStr">
        <is>
          <t>No</t>
        </is>
      </c>
      <c r="J282" t="inlineStr">
        <is>
          <t>0</t>
        </is>
      </c>
      <c r="L282" t="inlineStr">
        <is>
          <t>Leipzig-Berlin, Verlag Chemie g.m.b.h., 1924-</t>
        </is>
      </c>
      <c r="M282" t="inlineStr">
        <is>
          <t>1924</t>
        </is>
      </c>
      <c r="N282" t="inlineStr">
        <is>
          <t>8. aufl. Hrsg. von der Deutschen chemischen gesellschaft, bearb. von R.J. Meyer, unter beratender mitwirkung von Franz Peters.</t>
        </is>
      </c>
      <c r="O282" t="inlineStr">
        <is>
          <t>ger</t>
        </is>
      </c>
      <c r="P282" t="inlineStr">
        <is>
          <t xml:space="preserve">xx </t>
        </is>
      </c>
      <c r="R282" t="inlineStr">
        <is>
          <t xml:space="preserve">QD </t>
        </is>
      </c>
      <c r="S282" t="n">
        <v>1</v>
      </c>
      <c r="T282" t="n">
        <v>324</v>
      </c>
      <c r="U282" t="inlineStr">
        <is>
          <t>1998-07-27</t>
        </is>
      </c>
      <c r="V282" t="inlineStr">
        <is>
          <t>1998-07-28</t>
        </is>
      </c>
      <c r="W282" t="inlineStr">
        <is>
          <t>1997-06-05</t>
        </is>
      </c>
      <c r="X282" t="inlineStr">
        <is>
          <t>1998-06-24</t>
        </is>
      </c>
      <c r="Y282" t="n">
        <v>259</v>
      </c>
      <c r="Z282" t="n">
        <v>221</v>
      </c>
      <c r="AA282" t="n">
        <v>223</v>
      </c>
      <c r="AB282" t="n">
        <v>2</v>
      </c>
      <c r="AC282" t="n">
        <v>2</v>
      </c>
      <c r="AD282" t="n">
        <v>10</v>
      </c>
      <c r="AE282" t="n">
        <v>10</v>
      </c>
      <c r="AF282" t="n">
        <v>2</v>
      </c>
      <c r="AG282" t="n">
        <v>2</v>
      </c>
      <c r="AH282" t="n">
        <v>2</v>
      </c>
      <c r="AI282" t="n">
        <v>2</v>
      </c>
      <c r="AJ282" t="n">
        <v>8</v>
      </c>
      <c r="AK282" t="n">
        <v>8</v>
      </c>
      <c r="AL282" t="n">
        <v>1</v>
      </c>
      <c r="AM282" t="n">
        <v>1</v>
      </c>
      <c r="AN282" t="n">
        <v>0</v>
      </c>
      <c r="AO282" t="n">
        <v>0</v>
      </c>
      <c r="AP282" t="inlineStr">
        <is>
          <t>No</t>
        </is>
      </c>
      <c r="AQ282" t="inlineStr">
        <is>
          <t>Yes</t>
        </is>
      </c>
      <c r="AR282">
        <f>HYPERLINK("http://catalog.hathitrust.org/Record/009932175","HathiTrust Record")</f>
        <v/>
      </c>
      <c r="AS282">
        <f>HYPERLINK("https://creighton-primo.hosted.exlibrisgroup.com/primo-explore/search?tab=default_tab&amp;search_scope=EVERYTHING&amp;vid=01CRU&amp;lang=en_US&amp;offset=0&amp;query=any,contains,991005356889702656","Catalog Record")</f>
        <v/>
      </c>
      <c r="AT282">
        <f>HYPERLINK("http://www.worldcat.org/oclc/802031","WorldCat Record")</f>
        <v/>
      </c>
      <c r="AU282" t="inlineStr">
        <is>
          <t>4924721893:ger</t>
        </is>
      </c>
      <c r="AV282" t="inlineStr">
        <is>
          <t>802031</t>
        </is>
      </c>
      <c r="AW282" t="inlineStr">
        <is>
          <t>991005356889702656</t>
        </is>
      </c>
      <c r="AX282" t="inlineStr">
        <is>
          <t>991005356889702656</t>
        </is>
      </c>
      <c r="AY282" t="inlineStr">
        <is>
          <t>2270552310002656</t>
        </is>
      </c>
      <c r="AZ282" t="inlineStr">
        <is>
          <t>BOOK</t>
        </is>
      </c>
      <c r="BC282" t="inlineStr">
        <is>
          <t>32285002791142</t>
        </is>
      </c>
      <c r="BD282" t="inlineStr">
        <is>
          <t>893508082</t>
        </is>
      </c>
    </row>
    <row r="283">
      <c r="A283" t="inlineStr">
        <is>
          <t>No</t>
        </is>
      </c>
      <c r="B283" t="inlineStr">
        <is>
          <t>QD151 .G52 NO. 52 PT. B</t>
        </is>
      </c>
      <c r="C283" t="inlineStr">
        <is>
          <t>0                      QD 0151000G  52                                                      NO. 52 PT. B</t>
        </is>
      </c>
      <c r="D283" t="inlineStr">
        <is>
          <t>Gmelins Handbuch der anorganischen chemie.</t>
        </is>
      </c>
      <c r="E283" t="inlineStr">
        <is>
          <t>NO. 52 PT. B*</t>
        </is>
      </c>
      <c r="F283" t="inlineStr">
        <is>
          <t>Yes</t>
        </is>
      </c>
      <c r="G283" t="inlineStr">
        <is>
          <t>1</t>
        </is>
      </c>
      <c r="H283" t="inlineStr">
        <is>
          <t>No</t>
        </is>
      </c>
      <c r="I283" t="inlineStr">
        <is>
          <t>No</t>
        </is>
      </c>
      <c r="J283" t="inlineStr">
        <is>
          <t>0</t>
        </is>
      </c>
      <c r="L283" t="inlineStr">
        <is>
          <t>Leipzig-Berlin, Verlag Chemie g.m.b.h., 1924-</t>
        </is>
      </c>
      <c r="M283" t="inlineStr">
        <is>
          <t>1924</t>
        </is>
      </c>
      <c r="N283" t="inlineStr">
        <is>
          <t>8. aufl. Hrsg. von der Deutschen chemischen gesellschaft, bearb. von R.J. Meyer, unter beratender mitwirkung von Franz Peters.</t>
        </is>
      </c>
      <c r="O283" t="inlineStr">
        <is>
          <t>ger</t>
        </is>
      </c>
      <c r="P283" t="inlineStr">
        <is>
          <t xml:space="preserve">xx </t>
        </is>
      </c>
      <c r="R283" t="inlineStr">
        <is>
          <t xml:space="preserve">QD </t>
        </is>
      </c>
      <c r="S283" t="n">
        <v>1</v>
      </c>
      <c r="T283" t="n">
        <v>324</v>
      </c>
      <c r="U283" t="inlineStr">
        <is>
          <t>1998-07-27</t>
        </is>
      </c>
      <c r="V283" t="inlineStr">
        <is>
          <t>1998-07-28</t>
        </is>
      </c>
      <c r="W283" t="inlineStr">
        <is>
          <t>1997-06-05</t>
        </is>
      </c>
      <c r="X283" t="inlineStr">
        <is>
          <t>1998-06-24</t>
        </is>
      </c>
      <c r="Y283" t="n">
        <v>259</v>
      </c>
      <c r="Z283" t="n">
        <v>221</v>
      </c>
      <c r="AA283" t="n">
        <v>223</v>
      </c>
      <c r="AB283" t="n">
        <v>2</v>
      </c>
      <c r="AC283" t="n">
        <v>2</v>
      </c>
      <c r="AD283" t="n">
        <v>10</v>
      </c>
      <c r="AE283" t="n">
        <v>10</v>
      </c>
      <c r="AF283" t="n">
        <v>2</v>
      </c>
      <c r="AG283" t="n">
        <v>2</v>
      </c>
      <c r="AH283" t="n">
        <v>2</v>
      </c>
      <c r="AI283" t="n">
        <v>2</v>
      </c>
      <c r="AJ283" t="n">
        <v>8</v>
      </c>
      <c r="AK283" t="n">
        <v>8</v>
      </c>
      <c r="AL283" t="n">
        <v>1</v>
      </c>
      <c r="AM283" t="n">
        <v>1</v>
      </c>
      <c r="AN283" t="n">
        <v>0</v>
      </c>
      <c r="AO283" t="n">
        <v>0</v>
      </c>
      <c r="AP283" t="inlineStr">
        <is>
          <t>No</t>
        </is>
      </c>
      <c r="AQ283" t="inlineStr">
        <is>
          <t>Yes</t>
        </is>
      </c>
      <c r="AR283">
        <f>HYPERLINK("http://catalog.hathitrust.org/Record/009932175","HathiTrust Record")</f>
        <v/>
      </c>
      <c r="AS283">
        <f>HYPERLINK("https://creighton-primo.hosted.exlibrisgroup.com/primo-explore/search?tab=default_tab&amp;search_scope=EVERYTHING&amp;vid=01CRU&amp;lang=en_US&amp;offset=0&amp;query=any,contains,991005356889702656","Catalog Record")</f>
        <v/>
      </c>
      <c r="AT283">
        <f>HYPERLINK("http://www.worldcat.org/oclc/802031","WorldCat Record")</f>
        <v/>
      </c>
      <c r="AU283" t="inlineStr">
        <is>
          <t>4924721893:ger</t>
        </is>
      </c>
      <c r="AV283" t="inlineStr">
        <is>
          <t>802031</t>
        </is>
      </c>
      <c r="AW283" t="inlineStr">
        <is>
          <t>991005356889702656</t>
        </is>
      </c>
      <c r="AX283" t="inlineStr">
        <is>
          <t>991005356889702656</t>
        </is>
      </c>
      <c r="AY283" t="inlineStr">
        <is>
          <t>2270552310002656</t>
        </is>
      </c>
      <c r="AZ283" t="inlineStr">
        <is>
          <t>BOOK</t>
        </is>
      </c>
      <c r="BC283" t="inlineStr">
        <is>
          <t>32285002791159</t>
        </is>
      </c>
      <c r="BD283" t="inlineStr">
        <is>
          <t>893508081</t>
        </is>
      </c>
    </row>
    <row r="284">
      <c r="A284" t="inlineStr">
        <is>
          <t>No</t>
        </is>
      </c>
      <c r="B284" t="inlineStr">
        <is>
          <t>QD151 .G52 NO. 52 PT. C</t>
        </is>
      </c>
      <c r="C284" t="inlineStr">
        <is>
          <t>0                      QD 0151000G  52                                                      NO. 52 PT. C</t>
        </is>
      </c>
      <c r="D284" t="inlineStr">
        <is>
          <t>Gmelins Handbuch der anorganischen chemie.</t>
        </is>
      </c>
      <c r="E284" t="inlineStr">
        <is>
          <t>NO. 52 PT. C*</t>
        </is>
      </c>
      <c r="F284" t="inlineStr">
        <is>
          <t>Yes</t>
        </is>
      </c>
      <c r="G284" t="inlineStr">
        <is>
          <t>1</t>
        </is>
      </c>
      <c r="H284" t="inlineStr">
        <is>
          <t>No</t>
        </is>
      </c>
      <c r="I284" t="inlineStr">
        <is>
          <t>No</t>
        </is>
      </c>
      <c r="J284" t="inlineStr">
        <is>
          <t>0</t>
        </is>
      </c>
      <c r="L284" t="inlineStr">
        <is>
          <t>Leipzig-Berlin, Verlag Chemie g.m.b.h., 1924-</t>
        </is>
      </c>
      <c r="M284" t="inlineStr">
        <is>
          <t>1924</t>
        </is>
      </c>
      <c r="N284" t="inlineStr">
        <is>
          <t>8. aufl. Hrsg. von der Deutschen chemischen gesellschaft, bearb. von R.J. Meyer, unter beratender mitwirkung von Franz Peters.</t>
        </is>
      </c>
      <c r="O284" t="inlineStr">
        <is>
          <t>ger</t>
        </is>
      </c>
      <c r="P284" t="inlineStr">
        <is>
          <t xml:space="preserve">xx </t>
        </is>
      </c>
      <c r="R284" t="inlineStr">
        <is>
          <t xml:space="preserve">QD </t>
        </is>
      </c>
      <c r="S284" t="n">
        <v>1</v>
      </c>
      <c r="T284" t="n">
        <v>324</v>
      </c>
      <c r="U284" t="inlineStr">
        <is>
          <t>1998-07-27</t>
        </is>
      </c>
      <c r="V284" t="inlineStr">
        <is>
          <t>1998-07-28</t>
        </is>
      </c>
      <c r="W284" t="inlineStr">
        <is>
          <t>1997-06-05</t>
        </is>
      </c>
      <c r="X284" t="inlineStr">
        <is>
          <t>1998-06-24</t>
        </is>
      </c>
      <c r="Y284" t="n">
        <v>259</v>
      </c>
      <c r="Z284" t="n">
        <v>221</v>
      </c>
      <c r="AA284" t="n">
        <v>223</v>
      </c>
      <c r="AB284" t="n">
        <v>2</v>
      </c>
      <c r="AC284" t="n">
        <v>2</v>
      </c>
      <c r="AD284" t="n">
        <v>10</v>
      </c>
      <c r="AE284" t="n">
        <v>10</v>
      </c>
      <c r="AF284" t="n">
        <v>2</v>
      </c>
      <c r="AG284" t="n">
        <v>2</v>
      </c>
      <c r="AH284" t="n">
        <v>2</v>
      </c>
      <c r="AI284" t="n">
        <v>2</v>
      </c>
      <c r="AJ284" t="n">
        <v>8</v>
      </c>
      <c r="AK284" t="n">
        <v>8</v>
      </c>
      <c r="AL284" t="n">
        <v>1</v>
      </c>
      <c r="AM284" t="n">
        <v>1</v>
      </c>
      <c r="AN284" t="n">
        <v>0</v>
      </c>
      <c r="AO284" t="n">
        <v>0</v>
      </c>
      <c r="AP284" t="inlineStr">
        <is>
          <t>No</t>
        </is>
      </c>
      <c r="AQ284" t="inlineStr">
        <is>
          <t>Yes</t>
        </is>
      </c>
      <c r="AR284">
        <f>HYPERLINK("http://catalog.hathitrust.org/Record/009932175","HathiTrust Record")</f>
        <v/>
      </c>
      <c r="AS284">
        <f>HYPERLINK("https://creighton-primo.hosted.exlibrisgroup.com/primo-explore/search?tab=default_tab&amp;search_scope=EVERYTHING&amp;vid=01CRU&amp;lang=en_US&amp;offset=0&amp;query=any,contains,991005356889702656","Catalog Record")</f>
        <v/>
      </c>
      <c r="AT284">
        <f>HYPERLINK("http://www.worldcat.org/oclc/802031","WorldCat Record")</f>
        <v/>
      </c>
      <c r="AU284" t="inlineStr">
        <is>
          <t>4924721893:ger</t>
        </is>
      </c>
      <c r="AV284" t="inlineStr">
        <is>
          <t>802031</t>
        </is>
      </c>
      <c r="AW284" t="inlineStr">
        <is>
          <t>991005356889702656</t>
        </is>
      </c>
      <c r="AX284" t="inlineStr">
        <is>
          <t>991005356889702656</t>
        </is>
      </c>
      <c r="AY284" t="inlineStr">
        <is>
          <t>2270552310002656</t>
        </is>
      </c>
      <c r="AZ284" t="inlineStr">
        <is>
          <t>BOOK</t>
        </is>
      </c>
      <c r="BC284" t="inlineStr">
        <is>
          <t>32285002791167</t>
        </is>
      </c>
      <c r="BD284" t="inlineStr">
        <is>
          <t>893514519</t>
        </is>
      </c>
    </row>
    <row r="285">
      <c r="A285" t="inlineStr">
        <is>
          <t>No</t>
        </is>
      </c>
      <c r="B285" t="inlineStr">
        <is>
          <t>QD151 .G52 NO. 53</t>
        </is>
      </c>
      <c r="C285" t="inlineStr">
        <is>
          <t>0                      QD 0151000G  52                                                      NO. 53</t>
        </is>
      </c>
      <c r="D285" t="inlineStr">
        <is>
          <t>Gmelins Handbuch der anorganischen chemie.</t>
        </is>
      </c>
      <c r="E285" t="inlineStr">
        <is>
          <t>NO. 53*</t>
        </is>
      </c>
      <c r="F285" t="inlineStr">
        <is>
          <t>Yes</t>
        </is>
      </c>
      <c r="G285" t="inlineStr">
        <is>
          <t>1</t>
        </is>
      </c>
      <c r="H285" t="inlineStr">
        <is>
          <t>No</t>
        </is>
      </c>
      <c r="I285" t="inlineStr">
        <is>
          <t>No</t>
        </is>
      </c>
      <c r="J285" t="inlineStr">
        <is>
          <t>0</t>
        </is>
      </c>
      <c r="L285" t="inlineStr">
        <is>
          <t>Leipzig-Berlin, Verlag Chemie g.m.b.h., 1924-</t>
        </is>
      </c>
      <c r="M285" t="inlineStr">
        <is>
          <t>1924</t>
        </is>
      </c>
      <c r="N285" t="inlineStr">
        <is>
          <t>8. aufl. Hrsg. von der Deutschen chemischen gesellschaft, bearb. von R.J. Meyer, unter beratender mitwirkung von Franz Peters.</t>
        </is>
      </c>
      <c r="O285" t="inlineStr">
        <is>
          <t>ger</t>
        </is>
      </c>
      <c r="P285" t="inlineStr">
        <is>
          <t xml:space="preserve">xx </t>
        </is>
      </c>
      <c r="R285" t="inlineStr">
        <is>
          <t xml:space="preserve">QD </t>
        </is>
      </c>
      <c r="S285" t="n">
        <v>1</v>
      </c>
      <c r="T285" t="n">
        <v>324</v>
      </c>
      <c r="U285" t="inlineStr">
        <is>
          <t>1998-07-27</t>
        </is>
      </c>
      <c r="V285" t="inlineStr">
        <is>
          <t>1998-07-28</t>
        </is>
      </c>
      <c r="W285" t="inlineStr">
        <is>
          <t>1997-06-05</t>
        </is>
      </c>
      <c r="X285" t="inlineStr">
        <is>
          <t>1998-06-24</t>
        </is>
      </c>
      <c r="Y285" t="n">
        <v>259</v>
      </c>
      <c r="Z285" t="n">
        <v>221</v>
      </c>
      <c r="AA285" t="n">
        <v>223</v>
      </c>
      <c r="AB285" t="n">
        <v>2</v>
      </c>
      <c r="AC285" t="n">
        <v>2</v>
      </c>
      <c r="AD285" t="n">
        <v>10</v>
      </c>
      <c r="AE285" t="n">
        <v>10</v>
      </c>
      <c r="AF285" t="n">
        <v>2</v>
      </c>
      <c r="AG285" t="n">
        <v>2</v>
      </c>
      <c r="AH285" t="n">
        <v>2</v>
      </c>
      <c r="AI285" t="n">
        <v>2</v>
      </c>
      <c r="AJ285" t="n">
        <v>8</v>
      </c>
      <c r="AK285" t="n">
        <v>8</v>
      </c>
      <c r="AL285" t="n">
        <v>1</v>
      </c>
      <c r="AM285" t="n">
        <v>1</v>
      </c>
      <c r="AN285" t="n">
        <v>0</v>
      </c>
      <c r="AO285" t="n">
        <v>0</v>
      </c>
      <c r="AP285" t="inlineStr">
        <is>
          <t>No</t>
        </is>
      </c>
      <c r="AQ285" t="inlineStr">
        <is>
          <t>Yes</t>
        </is>
      </c>
      <c r="AR285">
        <f>HYPERLINK("http://catalog.hathitrust.org/Record/009932175","HathiTrust Record")</f>
        <v/>
      </c>
      <c r="AS285">
        <f>HYPERLINK("https://creighton-primo.hosted.exlibrisgroup.com/primo-explore/search?tab=default_tab&amp;search_scope=EVERYTHING&amp;vid=01CRU&amp;lang=en_US&amp;offset=0&amp;query=any,contains,991005356889702656","Catalog Record")</f>
        <v/>
      </c>
      <c r="AT285">
        <f>HYPERLINK("http://www.worldcat.org/oclc/802031","WorldCat Record")</f>
        <v/>
      </c>
      <c r="AU285" t="inlineStr">
        <is>
          <t>4924721893:ger</t>
        </is>
      </c>
      <c r="AV285" t="inlineStr">
        <is>
          <t>802031</t>
        </is>
      </c>
      <c r="AW285" t="inlineStr">
        <is>
          <t>991005356889702656</t>
        </is>
      </c>
      <c r="AX285" t="inlineStr">
        <is>
          <t>991005356889702656</t>
        </is>
      </c>
      <c r="AY285" t="inlineStr">
        <is>
          <t>2270552310002656</t>
        </is>
      </c>
      <c r="AZ285" t="inlineStr">
        <is>
          <t>BOOK</t>
        </is>
      </c>
      <c r="BC285" t="inlineStr">
        <is>
          <t>32285002791175</t>
        </is>
      </c>
      <c r="BD285" t="inlineStr">
        <is>
          <t>893520982</t>
        </is>
      </c>
    </row>
    <row r="286">
      <c r="A286" t="inlineStr">
        <is>
          <t>No</t>
        </is>
      </c>
      <c r="B286" t="inlineStr">
        <is>
          <t>QD151 .G52 NO. 53 PT. B1</t>
        </is>
      </c>
      <c r="C286" t="inlineStr">
        <is>
          <t>0                      QD 0151000G  52                                                      NO. 53 PT. B1</t>
        </is>
      </c>
      <c r="D286" t="inlineStr">
        <is>
          <t>Gmelins Handbuch der anorganischen chemie.</t>
        </is>
      </c>
      <c r="E286" t="inlineStr">
        <is>
          <t>NO. 53 PT. B1*</t>
        </is>
      </c>
      <c r="F286" t="inlineStr">
        <is>
          <t>Yes</t>
        </is>
      </c>
      <c r="G286" t="inlineStr">
        <is>
          <t>1</t>
        </is>
      </c>
      <c r="H286" t="inlineStr">
        <is>
          <t>No</t>
        </is>
      </c>
      <c r="I286" t="inlineStr">
        <is>
          <t>No</t>
        </is>
      </c>
      <c r="J286" t="inlineStr">
        <is>
          <t>0</t>
        </is>
      </c>
      <c r="L286" t="inlineStr">
        <is>
          <t>Leipzig-Berlin, Verlag Chemie g.m.b.h., 1924-</t>
        </is>
      </c>
      <c r="M286" t="inlineStr">
        <is>
          <t>1924</t>
        </is>
      </c>
      <c r="N286" t="inlineStr">
        <is>
          <t>8. aufl. Hrsg. von der Deutschen chemischen gesellschaft, bearb. von R.J. Meyer, unter beratender mitwirkung von Franz Peters.</t>
        </is>
      </c>
      <c r="O286" t="inlineStr">
        <is>
          <t>ger</t>
        </is>
      </c>
      <c r="P286" t="inlineStr">
        <is>
          <t xml:space="preserve">xx </t>
        </is>
      </c>
      <c r="R286" t="inlineStr">
        <is>
          <t xml:space="preserve">QD </t>
        </is>
      </c>
      <c r="S286" t="n">
        <v>1</v>
      </c>
      <c r="T286" t="n">
        <v>324</v>
      </c>
      <c r="U286" t="inlineStr">
        <is>
          <t>1998-07-27</t>
        </is>
      </c>
      <c r="V286" t="inlineStr">
        <is>
          <t>1998-07-28</t>
        </is>
      </c>
      <c r="W286" t="inlineStr">
        <is>
          <t>1997-06-05</t>
        </is>
      </c>
      <c r="X286" t="inlineStr">
        <is>
          <t>1998-06-24</t>
        </is>
      </c>
      <c r="Y286" t="n">
        <v>259</v>
      </c>
      <c r="Z286" t="n">
        <v>221</v>
      </c>
      <c r="AA286" t="n">
        <v>223</v>
      </c>
      <c r="AB286" t="n">
        <v>2</v>
      </c>
      <c r="AC286" t="n">
        <v>2</v>
      </c>
      <c r="AD286" t="n">
        <v>10</v>
      </c>
      <c r="AE286" t="n">
        <v>10</v>
      </c>
      <c r="AF286" t="n">
        <v>2</v>
      </c>
      <c r="AG286" t="n">
        <v>2</v>
      </c>
      <c r="AH286" t="n">
        <v>2</v>
      </c>
      <c r="AI286" t="n">
        <v>2</v>
      </c>
      <c r="AJ286" t="n">
        <v>8</v>
      </c>
      <c r="AK286" t="n">
        <v>8</v>
      </c>
      <c r="AL286" t="n">
        <v>1</v>
      </c>
      <c r="AM286" t="n">
        <v>1</v>
      </c>
      <c r="AN286" t="n">
        <v>0</v>
      </c>
      <c r="AO286" t="n">
        <v>0</v>
      </c>
      <c r="AP286" t="inlineStr">
        <is>
          <t>No</t>
        </is>
      </c>
      <c r="AQ286" t="inlineStr">
        <is>
          <t>Yes</t>
        </is>
      </c>
      <c r="AR286">
        <f>HYPERLINK("http://catalog.hathitrust.org/Record/009932175","HathiTrust Record")</f>
        <v/>
      </c>
      <c r="AS286">
        <f>HYPERLINK("https://creighton-primo.hosted.exlibrisgroup.com/primo-explore/search?tab=default_tab&amp;search_scope=EVERYTHING&amp;vid=01CRU&amp;lang=en_US&amp;offset=0&amp;query=any,contains,991005356889702656","Catalog Record")</f>
        <v/>
      </c>
      <c r="AT286">
        <f>HYPERLINK("http://www.worldcat.org/oclc/802031","WorldCat Record")</f>
        <v/>
      </c>
      <c r="AU286" t="inlineStr">
        <is>
          <t>4924721893:ger</t>
        </is>
      </c>
      <c r="AV286" t="inlineStr">
        <is>
          <t>802031</t>
        </is>
      </c>
      <c r="AW286" t="inlineStr">
        <is>
          <t>991005356889702656</t>
        </is>
      </c>
      <c r="AX286" t="inlineStr">
        <is>
          <t>991005356889702656</t>
        </is>
      </c>
      <c r="AY286" t="inlineStr">
        <is>
          <t>2270552310002656</t>
        </is>
      </c>
      <c r="AZ286" t="inlineStr">
        <is>
          <t>BOOK</t>
        </is>
      </c>
      <c r="BC286" t="inlineStr">
        <is>
          <t>32285002791191</t>
        </is>
      </c>
      <c r="BD286" t="inlineStr">
        <is>
          <t>893501801</t>
        </is>
      </c>
    </row>
    <row r="287">
      <c r="A287" t="inlineStr">
        <is>
          <t>No</t>
        </is>
      </c>
      <c r="B287" t="inlineStr">
        <is>
          <t>QD151 .G52 NO. 53 SUPP. 1 PT. A</t>
        </is>
      </c>
      <c r="C287" t="inlineStr">
        <is>
          <t>0                      QD 0151000G  52                                                      NO. 53 SUPP. 1 PT. A</t>
        </is>
      </c>
      <c r="D287" t="inlineStr">
        <is>
          <t>Gmelins Handbuch der anorganischen chemie.</t>
        </is>
      </c>
      <c r="E287" t="inlineStr">
        <is>
          <t>NO. 53 SUPP. 1 PT. A*</t>
        </is>
      </c>
      <c r="F287" t="inlineStr">
        <is>
          <t>Yes</t>
        </is>
      </c>
      <c r="G287" t="inlineStr">
        <is>
          <t>1</t>
        </is>
      </c>
      <c r="H287" t="inlineStr">
        <is>
          <t>No</t>
        </is>
      </c>
      <c r="I287" t="inlineStr">
        <is>
          <t>No</t>
        </is>
      </c>
      <c r="J287" t="inlineStr">
        <is>
          <t>0</t>
        </is>
      </c>
      <c r="L287" t="inlineStr">
        <is>
          <t>Leipzig-Berlin, Verlag Chemie g.m.b.h., 1924-</t>
        </is>
      </c>
      <c r="M287" t="inlineStr">
        <is>
          <t>1924</t>
        </is>
      </c>
      <c r="N287" t="inlineStr">
        <is>
          <t>8. aufl. Hrsg. von der Deutschen chemischen gesellschaft, bearb. von R.J. Meyer, unter beratender mitwirkung von Franz Peters.</t>
        </is>
      </c>
      <c r="O287" t="inlineStr">
        <is>
          <t>ger</t>
        </is>
      </c>
      <c r="P287" t="inlineStr">
        <is>
          <t xml:space="preserve">xx </t>
        </is>
      </c>
      <c r="R287" t="inlineStr">
        <is>
          <t xml:space="preserve">QD </t>
        </is>
      </c>
      <c r="S287" t="n">
        <v>1</v>
      </c>
      <c r="T287" t="n">
        <v>324</v>
      </c>
      <c r="U287" t="inlineStr">
        <is>
          <t>1998-07-27</t>
        </is>
      </c>
      <c r="V287" t="inlineStr">
        <is>
          <t>1998-07-28</t>
        </is>
      </c>
      <c r="W287" t="inlineStr">
        <is>
          <t>1997-06-09</t>
        </is>
      </c>
      <c r="X287" t="inlineStr">
        <is>
          <t>1998-06-24</t>
        </is>
      </c>
      <c r="Y287" t="n">
        <v>259</v>
      </c>
      <c r="Z287" t="n">
        <v>221</v>
      </c>
      <c r="AA287" t="n">
        <v>223</v>
      </c>
      <c r="AB287" t="n">
        <v>2</v>
      </c>
      <c r="AC287" t="n">
        <v>2</v>
      </c>
      <c r="AD287" t="n">
        <v>10</v>
      </c>
      <c r="AE287" t="n">
        <v>10</v>
      </c>
      <c r="AF287" t="n">
        <v>2</v>
      </c>
      <c r="AG287" t="n">
        <v>2</v>
      </c>
      <c r="AH287" t="n">
        <v>2</v>
      </c>
      <c r="AI287" t="n">
        <v>2</v>
      </c>
      <c r="AJ287" t="n">
        <v>8</v>
      </c>
      <c r="AK287" t="n">
        <v>8</v>
      </c>
      <c r="AL287" t="n">
        <v>1</v>
      </c>
      <c r="AM287" t="n">
        <v>1</v>
      </c>
      <c r="AN287" t="n">
        <v>0</v>
      </c>
      <c r="AO287" t="n">
        <v>0</v>
      </c>
      <c r="AP287" t="inlineStr">
        <is>
          <t>No</t>
        </is>
      </c>
      <c r="AQ287" t="inlineStr">
        <is>
          <t>Yes</t>
        </is>
      </c>
      <c r="AR287">
        <f>HYPERLINK("http://catalog.hathitrust.org/Record/009932175","HathiTrust Record")</f>
        <v/>
      </c>
      <c r="AS287">
        <f>HYPERLINK("https://creighton-primo.hosted.exlibrisgroup.com/primo-explore/search?tab=default_tab&amp;search_scope=EVERYTHING&amp;vid=01CRU&amp;lang=en_US&amp;offset=0&amp;query=any,contains,991005356889702656","Catalog Record")</f>
        <v/>
      </c>
      <c r="AT287">
        <f>HYPERLINK("http://www.worldcat.org/oclc/802031","WorldCat Record")</f>
        <v/>
      </c>
      <c r="AU287" t="inlineStr">
        <is>
          <t>4924721893:ger</t>
        </is>
      </c>
      <c r="AV287" t="inlineStr">
        <is>
          <t>802031</t>
        </is>
      </c>
      <c r="AW287" t="inlineStr">
        <is>
          <t>991005356889702656</t>
        </is>
      </c>
      <c r="AX287" t="inlineStr">
        <is>
          <t>991005356889702656</t>
        </is>
      </c>
      <c r="AY287" t="inlineStr">
        <is>
          <t>2270552310002656</t>
        </is>
      </c>
      <c r="AZ287" t="inlineStr">
        <is>
          <t>BOOK</t>
        </is>
      </c>
      <c r="BC287" t="inlineStr">
        <is>
          <t>32285002791183</t>
        </is>
      </c>
      <c r="BD287" t="inlineStr">
        <is>
          <t>893527446</t>
        </is>
      </c>
    </row>
    <row r="288">
      <c r="A288" t="inlineStr">
        <is>
          <t>No</t>
        </is>
      </c>
      <c r="B288" t="inlineStr">
        <is>
          <t>QD151 .G52 NO. 54</t>
        </is>
      </c>
      <c r="C288" t="inlineStr">
        <is>
          <t>0                      QD 0151000G  52                                                      NO. 54</t>
        </is>
      </c>
      <c r="D288" t="inlineStr">
        <is>
          <t>Gmelins Handbuch der anorganischen chemie.</t>
        </is>
      </c>
      <c r="E288" t="inlineStr">
        <is>
          <t>NO. 54*</t>
        </is>
      </c>
      <c r="F288" t="inlineStr">
        <is>
          <t>Yes</t>
        </is>
      </c>
      <c r="G288" t="inlineStr">
        <is>
          <t>1</t>
        </is>
      </c>
      <c r="H288" t="inlineStr">
        <is>
          <t>No</t>
        </is>
      </c>
      <c r="I288" t="inlineStr">
        <is>
          <t>No</t>
        </is>
      </c>
      <c r="J288" t="inlineStr">
        <is>
          <t>0</t>
        </is>
      </c>
      <c r="L288" t="inlineStr">
        <is>
          <t>Leipzig-Berlin, Verlag Chemie g.m.b.h., 1924-</t>
        </is>
      </c>
      <c r="M288" t="inlineStr">
        <is>
          <t>1924</t>
        </is>
      </c>
      <c r="N288" t="inlineStr">
        <is>
          <t>8. aufl. Hrsg. von der Deutschen chemischen gesellschaft, bearb. von R.J. Meyer, unter beratender mitwirkung von Franz Peters.</t>
        </is>
      </c>
      <c r="O288" t="inlineStr">
        <is>
          <t>ger</t>
        </is>
      </c>
      <c r="P288" t="inlineStr">
        <is>
          <t xml:space="preserve">xx </t>
        </is>
      </c>
      <c r="R288" t="inlineStr">
        <is>
          <t xml:space="preserve">QD </t>
        </is>
      </c>
      <c r="S288" t="n">
        <v>1</v>
      </c>
      <c r="T288" t="n">
        <v>324</v>
      </c>
      <c r="U288" t="inlineStr">
        <is>
          <t>1998-07-27</t>
        </is>
      </c>
      <c r="V288" t="inlineStr">
        <is>
          <t>1998-07-28</t>
        </is>
      </c>
      <c r="W288" t="inlineStr">
        <is>
          <t>1997-06-05</t>
        </is>
      </c>
      <c r="X288" t="inlineStr">
        <is>
          <t>1998-06-24</t>
        </is>
      </c>
      <c r="Y288" t="n">
        <v>259</v>
      </c>
      <c r="Z288" t="n">
        <v>221</v>
      </c>
      <c r="AA288" t="n">
        <v>223</v>
      </c>
      <c r="AB288" t="n">
        <v>2</v>
      </c>
      <c r="AC288" t="n">
        <v>2</v>
      </c>
      <c r="AD288" t="n">
        <v>10</v>
      </c>
      <c r="AE288" t="n">
        <v>10</v>
      </c>
      <c r="AF288" t="n">
        <v>2</v>
      </c>
      <c r="AG288" t="n">
        <v>2</v>
      </c>
      <c r="AH288" t="n">
        <v>2</v>
      </c>
      <c r="AI288" t="n">
        <v>2</v>
      </c>
      <c r="AJ288" t="n">
        <v>8</v>
      </c>
      <c r="AK288" t="n">
        <v>8</v>
      </c>
      <c r="AL288" t="n">
        <v>1</v>
      </c>
      <c r="AM288" t="n">
        <v>1</v>
      </c>
      <c r="AN288" t="n">
        <v>0</v>
      </c>
      <c r="AO288" t="n">
        <v>0</v>
      </c>
      <c r="AP288" t="inlineStr">
        <is>
          <t>No</t>
        </is>
      </c>
      <c r="AQ288" t="inlineStr">
        <is>
          <t>Yes</t>
        </is>
      </c>
      <c r="AR288">
        <f>HYPERLINK("http://catalog.hathitrust.org/Record/009932175","HathiTrust Record")</f>
        <v/>
      </c>
      <c r="AS288">
        <f>HYPERLINK("https://creighton-primo.hosted.exlibrisgroup.com/primo-explore/search?tab=default_tab&amp;search_scope=EVERYTHING&amp;vid=01CRU&amp;lang=en_US&amp;offset=0&amp;query=any,contains,991005356889702656","Catalog Record")</f>
        <v/>
      </c>
      <c r="AT288">
        <f>HYPERLINK("http://www.worldcat.org/oclc/802031","WorldCat Record")</f>
        <v/>
      </c>
      <c r="AU288" t="inlineStr">
        <is>
          <t>4924721893:ger</t>
        </is>
      </c>
      <c r="AV288" t="inlineStr">
        <is>
          <t>802031</t>
        </is>
      </c>
      <c r="AW288" t="inlineStr">
        <is>
          <t>991005356889702656</t>
        </is>
      </c>
      <c r="AX288" t="inlineStr">
        <is>
          <t>991005356889702656</t>
        </is>
      </c>
      <c r="AY288" t="inlineStr">
        <is>
          <t>2270552310002656</t>
        </is>
      </c>
      <c r="AZ288" t="inlineStr">
        <is>
          <t>BOOK</t>
        </is>
      </c>
      <c r="BC288" t="inlineStr">
        <is>
          <t>32285002791217</t>
        </is>
      </c>
      <c r="BD288" t="inlineStr">
        <is>
          <t>893527445</t>
        </is>
      </c>
    </row>
    <row r="289">
      <c r="A289" t="inlineStr">
        <is>
          <t>No</t>
        </is>
      </c>
      <c r="B289" t="inlineStr">
        <is>
          <t>QD151 .G52 NO. 54 PT. B1</t>
        </is>
      </c>
      <c r="C289" t="inlineStr">
        <is>
          <t>0                      QD 0151000G  52                                                      NO. 54 PT. B1</t>
        </is>
      </c>
      <c r="D289" t="inlineStr">
        <is>
          <t>Gmelins Handbuch der anorganischen chemie.</t>
        </is>
      </c>
      <c r="E289" t="inlineStr">
        <is>
          <t>NO. 54 PT. B1*</t>
        </is>
      </c>
      <c r="F289" t="inlineStr">
        <is>
          <t>Yes</t>
        </is>
      </c>
      <c r="G289" t="inlineStr">
        <is>
          <t>1</t>
        </is>
      </c>
      <c r="H289" t="inlineStr">
        <is>
          <t>No</t>
        </is>
      </c>
      <c r="I289" t="inlineStr">
        <is>
          <t>No</t>
        </is>
      </c>
      <c r="J289" t="inlineStr">
        <is>
          <t>0</t>
        </is>
      </c>
      <c r="L289" t="inlineStr">
        <is>
          <t>Leipzig-Berlin, Verlag Chemie g.m.b.h., 1924-</t>
        </is>
      </c>
      <c r="M289" t="inlineStr">
        <is>
          <t>1924</t>
        </is>
      </c>
      <c r="N289" t="inlineStr">
        <is>
          <t>8. aufl. Hrsg. von der Deutschen chemischen gesellschaft, bearb. von R.J. Meyer, unter beratender mitwirkung von Franz Peters.</t>
        </is>
      </c>
      <c r="O289" t="inlineStr">
        <is>
          <t>ger</t>
        </is>
      </c>
      <c r="P289" t="inlineStr">
        <is>
          <t xml:space="preserve">xx </t>
        </is>
      </c>
      <c r="R289" t="inlineStr">
        <is>
          <t xml:space="preserve">QD </t>
        </is>
      </c>
      <c r="S289" t="n">
        <v>1</v>
      </c>
      <c r="T289" t="n">
        <v>324</v>
      </c>
      <c r="U289" t="inlineStr">
        <is>
          <t>1998-07-27</t>
        </is>
      </c>
      <c r="V289" t="inlineStr">
        <is>
          <t>1998-07-28</t>
        </is>
      </c>
      <c r="W289" t="inlineStr">
        <is>
          <t>1997-06-09</t>
        </is>
      </c>
      <c r="X289" t="inlineStr">
        <is>
          <t>1998-06-24</t>
        </is>
      </c>
      <c r="Y289" t="n">
        <v>259</v>
      </c>
      <c r="Z289" t="n">
        <v>221</v>
      </c>
      <c r="AA289" t="n">
        <v>223</v>
      </c>
      <c r="AB289" t="n">
        <v>2</v>
      </c>
      <c r="AC289" t="n">
        <v>2</v>
      </c>
      <c r="AD289" t="n">
        <v>10</v>
      </c>
      <c r="AE289" t="n">
        <v>10</v>
      </c>
      <c r="AF289" t="n">
        <v>2</v>
      </c>
      <c r="AG289" t="n">
        <v>2</v>
      </c>
      <c r="AH289" t="n">
        <v>2</v>
      </c>
      <c r="AI289" t="n">
        <v>2</v>
      </c>
      <c r="AJ289" t="n">
        <v>8</v>
      </c>
      <c r="AK289" t="n">
        <v>8</v>
      </c>
      <c r="AL289" t="n">
        <v>1</v>
      </c>
      <c r="AM289" t="n">
        <v>1</v>
      </c>
      <c r="AN289" t="n">
        <v>0</v>
      </c>
      <c r="AO289" t="n">
        <v>0</v>
      </c>
      <c r="AP289" t="inlineStr">
        <is>
          <t>No</t>
        </is>
      </c>
      <c r="AQ289" t="inlineStr">
        <is>
          <t>Yes</t>
        </is>
      </c>
      <c r="AR289">
        <f>HYPERLINK("http://catalog.hathitrust.org/Record/009932175","HathiTrust Record")</f>
        <v/>
      </c>
      <c r="AS289">
        <f>HYPERLINK("https://creighton-primo.hosted.exlibrisgroup.com/primo-explore/search?tab=default_tab&amp;search_scope=EVERYTHING&amp;vid=01CRU&amp;lang=en_US&amp;offset=0&amp;query=any,contains,991005356889702656","Catalog Record")</f>
        <v/>
      </c>
      <c r="AT289">
        <f>HYPERLINK("http://www.worldcat.org/oclc/802031","WorldCat Record")</f>
        <v/>
      </c>
      <c r="AU289" t="inlineStr">
        <is>
          <t>4924721893:ger</t>
        </is>
      </c>
      <c r="AV289" t="inlineStr">
        <is>
          <t>802031</t>
        </is>
      </c>
      <c r="AW289" t="inlineStr">
        <is>
          <t>991005356889702656</t>
        </is>
      </c>
      <c r="AX289" t="inlineStr">
        <is>
          <t>991005356889702656</t>
        </is>
      </c>
      <c r="AY289" t="inlineStr">
        <is>
          <t>2270552310002656</t>
        </is>
      </c>
      <c r="AZ289" t="inlineStr">
        <is>
          <t>BOOK</t>
        </is>
      </c>
      <c r="BC289" t="inlineStr">
        <is>
          <t>32285002791225</t>
        </is>
      </c>
      <c r="BD289" t="inlineStr">
        <is>
          <t>893501800</t>
        </is>
      </c>
    </row>
    <row r="290">
      <c r="A290" t="inlineStr">
        <is>
          <t>No</t>
        </is>
      </c>
      <c r="B290" t="inlineStr">
        <is>
          <t>QD151 .G52 NO. 55</t>
        </is>
      </c>
      <c r="C290" t="inlineStr">
        <is>
          <t>0                      QD 0151000G  52                                                      NO. 55</t>
        </is>
      </c>
      <c r="D290" t="inlineStr">
        <is>
          <t>Gmelins Handbuch der anorganischen chemie.</t>
        </is>
      </c>
      <c r="E290" t="inlineStr">
        <is>
          <t>NO. 55*</t>
        </is>
      </c>
      <c r="F290" t="inlineStr">
        <is>
          <t>Yes</t>
        </is>
      </c>
      <c r="G290" t="inlineStr">
        <is>
          <t>1</t>
        </is>
      </c>
      <c r="H290" t="inlineStr">
        <is>
          <t>No</t>
        </is>
      </c>
      <c r="I290" t="inlineStr">
        <is>
          <t>No</t>
        </is>
      </c>
      <c r="J290" t="inlineStr">
        <is>
          <t>0</t>
        </is>
      </c>
      <c r="L290" t="inlineStr">
        <is>
          <t>Leipzig-Berlin, Verlag Chemie g.m.b.h., 1924-</t>
        </is>
      </c>
      <c r="M290" t="inlineStr">
        <is>
          <t>1924</t>
        </is>
      </c>
      <c r="N290" t="inlineStr">
        <is>
          <t>8. aufl. Hrsg. von der Deutschen chemischen gesellschaft, bearb. von R.J. Meyer, unter beratender mitwirkung von Franz Peters.</t>
        </is>
      </c>
      <c r="O290" t="inlineStr">
        <is>
          <t>ger</t>
        </is>
      </c>
      <c r="P290" t="inlineStr">
        <is>
          <t xml:space="preserve">xx </t>
        </is>
      </c>
      <c r="R290" t="inlineStr">
        <is>
          <t xml:space="preserve">QD </t>
        </is>
      </c>
      <c r="S290" t="n">
        <v>1</v>
      </c>
      <c r="T290" t="n">
        <v>324</v>
      </c>
      <c r="U290" t="inlineStr">
        <is>
          <t>1998-07-27</t>
        </is>
      </c>
      <c r="V290" t="inlineStr">
        <is>
          <t>1998-07-28</t>
        </is>
      </c>
      <c r="W290" t="inlineStr">
        <is>
          <t>1997-06-05</t>
        </is>
      </c>
      <c r="X290" t="inlineStr">
        <is>
          <t>1998-06-24</t>
        </is>
      </c>
      <c r="Y290" t="n">
        <v>259</v>
      </c>
      <c r="Z290" t="n">
        <v>221</v>
      </c>
      <c r="AA290" t="n">
        <v>223</v>
      </c>
      <c r="AB290" t="n">
        <v>2</v>
      </c>
      <c r="AC290" t="n">
        <v>2</v>
      </c>
      <c r="AD290" t="n">
        <v>10</v>
      </c>
      <c r="AE290" t="n">
        <v>10</v>
      </c>
      <c r="AF290" t="n">
        <v>2</v>
      </c>
      <c r="AG290" t="n">
        <v>2</v>
      </c>
      <c r="AH290" t="n">
        <v>2</v>
      </c>
      <c r="AI290" t="n">
        <v>2</v>
      </c>
      <c r="AJ290" t="n">
        <v>8</v>
      </c>
      <c r="AK290" t="n">
        <v>8</v>
      </c>
      <c r="AL290" t="n">
        <v>1</v>
      </c>
      <c r="AM290" t="n">
        <v>1</v>
      </c>
      <c r="AN290" t="n">
        <v>0</v>
      </c>
      <c r="AO290" t="n">
        <v>0</v>
      </c>
      <c r="AP290" t="inlineStr">
        <is>
          <t>No</t>
        </is>
      </c>
      <c r="AQ290" t="inlineStr">
        <is>
          <t>Yes</t>
        </is>
      </c>
      <c r="AR290">
        <f>HYPERLINK("http://catalog.hathitrust.org/Record/009932175","HathiTrust Record")</f>
        <v/>
      </c>
      <c r="AS290">
        <f>HYPERLINK("https://creighton-primo.hosted.exlibrisgroup.com/primo-explore/search?tab=default_tab&amp;search_scope=EVERYTHING&amp;vid=01CRU&amp;lang=en_US&amp;offset=0&amp;query=any,contains,991005356889702656","Catalog Record")</f>
        <v/>
      </c>
      <c r="AT290">
        <f>HYPERLINK("http://www.worldcat.org/oclc/802031","WorldCat Record")</f>
        <v/>
      </c>
      <c r="AU290" t="inlineStr">
        <is>
          <t>4924721893:ger</t>
        </is>
      </c>
      <c r="AV290" t="inlineStr">
        <is>
          <t>802031</t>
        </is>
      </c>
      <c r="AW290" t="inlineStr">
        <is>
          <t>991005356889702656</t>
        </is>
      </c>
      <c r="AX290" t="inlineStr">
        <is>
          <t>991005356889702656</t>
        </is>
      </c>
      <c r="AY290" t="inlineStr">
        <is>
          <t>2270552310002656</t>
        </is>
      </c>
      <c r="AZ290" t="inlineStr">
        <is>
          <t>BOOK</t>
        </is>
      </c>
      <c r="BC290" t="inlineStr">
        <is>
          <t>32285002791233</t>
        </is>
      </c>
      <c r="BD290" t="inlineStr">
        <is>
          <t>893533621</t>
        </is>
      </c>
    </row>
    <row r="291">
      <c r="A291" t="inlineStr">
        <is>
          <t>No</t>
        </is>
      </c>
      <c r="B291" t="inlineStr">
        <is>
          <t>QD151 .G52 NO. 55 PT. C2</t>
        </is>
      </c>
      <c r="C291" t="inlineStr">
        <is>
          <t>0                      QD 0151000G  52                                                      NO. 55 PT. C2</t>
        </is>
      </c>
      <c r="D291" t="inlineStr">
        <is>
          <t>Gmelins Handbuch der anorganischen chemie.</t>
        </is>
      </c>
      <c r="E291" t="inlineStr">
        <is>
          <t>NO. 55 PT. C2*</t>
        </is>
      </c>
      <c r="F291" t="inlineStr">
        <is>
          <t>Yes</t>
        </is>
      </c>
      <c r="G291" t="inlineStr">
        <is>
          <t>1</t>
        </is>
      </c>
      <c r="H291" t="inlineStr">
        <is>
          <t>No</t>
        </is>
      </c>
      <c r="I291" t="inlineStr">
        <is>
          <t>No</t>
        </is>
      </c>
      <c r="J291" t="inlineStr">
        <is>
          <t>0</t>
        </is>
      </c>
      <c r="L291" t="inlineStr">
        <is>
          <t>Leipzig-Berlin, Verlag Chemie g.m.b.h., 1924-</t>
        </is>
      </c>
      <c r="M291" t="inlineStr">
        <is>
          <t>1924</t>
        </is>
      </c>
      <c r="N291" t="inlineStr">
        <is>
          <t>8. aufl. Hrsg. von der Deutschen chemischen gesellschaft, bearb. von R.J. Meyer, unter beratender mitwirkung von Franz Peters.</t>
        </is>
      </c>
      <c r="O291" t="inlineStr">
        <is>
          <t>ger</t>
        </is>
      </c>
      <c r="P291" t="inlineStr">
        <is>
          <t xml:space="preserve">xx </t>
        </is>
      </c>
      <c r="R291" t="inlineStr">
        <is>
          <t xml:space="preserve">QD </t>
        </is>
      </c>
      <c r="S291" t="n">
        <v>1</v>
      </c>
      <c r="T291" t="n">
        <v>324</v>
      </c>
      <c r="U291" t="inlineStr">
        <is>
          <t>1998-07-27</t>
        </is>
      </c>
      <c r="V291" t="inlineStr">
        <is>
          <t>1998-07-28</t>
        </is>
      </c>
      <c r="W291" t="inlineStr">
        <is>
          <t>1997-06-05</t>
        </is>
      </c>
      <c r="X291" t="inlineStr">
        <is>
          <t>1998-06-24</t>
        </is>
      </c>
      <c r="Y291" t="n">
        <v>259</v>
      </c>
      <c r="Z291" t="n">
        <v>221</v>
      </c>
      <c r="AA291" t="n">
        <v>223</v>
      </c>
      <c r="AB291" t="n">
        <v>2</v>
      </c>
      <c r="AC291" t="n">
        <v>2</v>
      </c>
      <c r="AD291" t="n">
        <v>10</v>
      </c>
      <c r="AE291" t="n">
        <v>10</v>
      </c>
      <c r="AF291" t="n">
        <v>2</v>
      </c>
      <c r="AG291" t="n">
        <v>2</v>
      </c>
      <c r="AH291" t="n">
        <v>2</v>
      </c>
      <c r="AI291" t="n">
        <v>2</v>
      </c>
      <c r="AJ291" t="n">
        <v>8</v>
      </c>
      <c r="AK291" t="n">
        <v>8</v>
      </c>
      <c r="AL291" t="n">
        <v>1</v>
      </c>
      <c r="AM291" t="n">
        <v>1</v>
      </c>
      <c r="AN291" t="n">
        <v>0</v>
      </c>
      <c r="AO291" t="n">
        <v>0</v>
      </c>
      <c r="AP291" t="inlineStr">
        <is>
          <t>No</t>
        </is>
      </c>
      <c r="AQ291" t="inlineStr">
        <is>
          <t>Yes</t>
        </is>
      </c>
      <c r="AR291">
        <f>HYPERLINK("http://catalog.hathitrust.org/Record/009932175","HathiTrust Record")</f>
        <v/>
      </c>
      <c r="AS291">
        <f>HYPERLINK("https://creighton-primo.hosted.exlibrisgroup.com/primo-explore/search?tab=default_tab&amp;search_scope=EVERYTHING&amp;vid=01CRU&amp;lang=en_US&amp;offset=0&amp;query=any,contains,991005356889702656","Catalog Record")</f>
        <v/>
      </c>
      <c r="AT291">
        <f>HYPERLINK("http://www.worldcat.org/oclc/802031","WorldCat Record")</f>
        <v/>
      </c>
      <c r="AU291" t="inlineStr">
        <is>
          <t>4924721893:ger</t>
        </is>
      </c>
      <c r="AV291" t="inlineStr">
        <is>
          <t>802031</t>
        </is>
      </c>
      <c r="AW291" t="inlineStr">
        <is>
          <t>991005356889702656</t>
        </is>
      </c>
      <c r="AX291" t="inlineStr">
        <is>
          <t>991005356889702656</t>
        </is>
      </c>
      <c r="AY291" t="inlineStr">
        <is>
          <t>2270552310002656</t>
        </is>
      </c>
      <c r="AZ291" t="inlineStr">
        <is>
          <t>BOOK</t>
        </is>
      </c>
      <c r="BC291" t="inlineStr">
        <is>
          <t>32285002791258</t>
        </is>
      </c>
      <c r="BD291" t="inlineStr">
        <is>
          <t>893514547</t>
        </is>
      </c>
    </row>
    <row r="292">
      <c r="A292" t="inlineStr">
        <is>
          <t>No</t>
        </is>
      </c>
      <c r="B292" t="inlineStr">
        <is>
          <t>QD151 .G52 NO. 55 PT. C3</t>
        </is>
      </c>
      <c r="C292" t="inlineStr">
        <is>
          <t>0                      QD 0151000G  52                                                      NO. 55 PT. C3</t>
        </is>
      </c>
      <c r="D292" t="inlineStr">
        <is>
          <t>Gmelins Handbuch der anorganischen chemie.</t>
        </is>
      </c>
      <c r="E292" t="inlineStr">
        <is>
          <t>NO. 55 PT. C3*</t>
        </is>
      </c>
      <c r="F292" t="inlineStr">
        <is>
          <t>Yes</t>
        </is>
      </c>
      <c r="G292" t="inlineStr">
        <is>
          <t>1</t>
        </is>
      </c>
      <c r="H292" t="inlineStr">
        <is>
          <t>No</t>
        </is>
      </c>
      <c r="I292" t="inlineStr">
        <is>
          <t>No</t>
        </is>
      </c>
      <c r="J292" t="inlineStr">
        <is>
          <t>0</t>
        </is>
      </c>
      <c r="L292" t="inlineStr">
        <is>
          <t>Leipzig-Berlin, Verlag Chemie g.m.b.h., 1924-</t>
        </is>
      </c>
      <c r="M292" t="inlineStr">
        <is>
          <t>1924</t>
        </is>
      </c>
      <c r="N292" t="inlineStr">
        <is>
          <t>8. aufl. Hrsg. von der Deutschen chemischen gesellschaft, bearb. von R.J. Meyer, unter beratender mitwirkung von Franz Peters.</t>
        </is>
      </c>
      <c r="O292" t="inlineStr">
        <is>
          <t>ger</t>
        </is>
      </c>
      <c r="P292" t="inlineStr">
        <is>
          <t xml:space="preserve">xx </t>
        </is>
      </c>
      <c r="R292" t="inlineStr">
        <is>
          <t xml:space="preserve">QD </t>
        </is>
      </c>
      <c r="S292" t="n">
        <v>1</v>
      </c>
      <c r="T292" t="n">
        <v>324</v>
      </c>
      <c r="U292" t="inlineStr">
        <is>
          <t>1998-07-27</t>
        </is>
      </c>
      <c r="V292" t="inlineStr">
        <is>
          <t>1998-07-28</t>
        </is>
      </c>
      <c r="W292" t="inlineStr">
        <is>
          <t>1997-06-05</t>
        </is>
      </c>
      <c r="X292" t="inlineStr">
        <is>
          <t>1998-06-24</t>
        </is>
      </c>
      <c r="Y292" t="n">
        <v>259</v>
      </c>
      <c r="Z292" t="n">
        <v>221</v>
      </c>
      <c r="AA292" t="n">
        <v>223</v>
      </c>
      <c r="AB292" t="n">
        <v>2</v>
      </c>
      <c r="AC292" t="n">
        <v>2</v>
      </c>
      <c r="AD292" t="n">
        <v>10</v>
      </c>
      <c r="AE292" t="n">
        <v>10</v>
      </c>
      <c r="AF292" t="n">
        <v>2</v>
      </c>
      <c r="AG292" t="n">
        <v>2</v>
      </c>
      <c r="AH292" t="n">
        <v>2</v>
      </c>
      <c r="AI292" t="n">
        <v>2</v>
      </c>
      <c r="AJ292" t="n">
        <v>8</v>
      </c>
      <c r="AK292" t="n">
        <v>8</v>
      </c>
      <c r="AL292" t="n">
        <v>1</v>
      </c>
      <c r="AM292" t="n">
        <v>1</v>
      </c>
      <c r="AN292" t="n">
        <v>0</v>
      </c>
      <c r="AO292" t="n">
        <v>0</v>
      </c>
      <c r="AP292" t="inlineStr">
        <is>
          <t>No</t>
        </is>
      </c>
      <c r="AQ292" t="inlineStr">
        <is>
          <t>Yes</t>
        </is>
      </c>
      <c r="AR292">
        <f>HYPERLINK("http://catalog.hathitrust.org/Record/009932175","HathiTrust Record")</f>
        <v/>
      </c>
      <c r="AS292">
        <f>HYPERLINK("https://creighton-primo.hosted.exlibrisgroup.com/primo-explore/search?tab=default_tab&amp;search_scope=EVERYTHING&amp;vid=01CRU&amp;lang=en_US&amp;offset=0&amp;query=any,contains,991005356889702656","Catalog Record")</f>
        <v/>
      </c>
      <c r="AT292">
        <f>HYPERLINK("http://www.worldcat.org/oclc/802031","WorldCat Record")</f>
        <v/>
      </c>
      <c r="AU292" t="inlineStr">
        <is>
          <t>4924721893:ger</t>
        </is>
      </c>
      <c r="AV292" t="inlineStr">
        <is>
          <t>802031</t>
        </is>
      </c>
      <c r="AW292" t="inlineStr">
        <is>
          <t>991005356889702656</t>
        </is>
      </c>
      <c r="AX292" t="inlineStr">
        <is>
          <t>991005356889702656</t>
        </is>
      </c>
      <c r="AY292" t="inlineStr">
        <is>
          <t>2270552310002656</t>
        </is>
      </c>
      <c r="AZ292" t="inlineStr">
        <is>
          <t>BOOK</t>
        </is>
      </c>
      <c r="BC292" t="inlineStr">
        <is>
          <t>32285002791266</t>
        </is>
      </c>
      <c r="BD292" t="inlineStr">
        <is>
          <t>893527444</t>
        </is>
      </c>
    </row>
    <row r="293">
      <c r="A293" t="inlineStr">
        <is>
          <t>No</t>
        </is>
      </c>
      <c r="B293" t="inlineStr">
        <is>
          <t>QD151 .G52 NO. 55 SUPP. 1 PT. C</t>
        </is>
      </c>
      <c r="C293" t="inlineStr">
        <is>
          <t>0                      QD 0151000G  52                                                      NO. 55 SUPP. 1 PT. C</t>
        </is>
      </c>
      <c r="D293" t="inlineStr">
        <is>
          <t>Gmelins Handbuch der anorganischen chemie.</t>
        </is>
      </c>
      <c r="E293" t="inlineStr">
        <is>
          <t>NO. 55 SUPP. 1 PT. C*</t>
        </is>
      </c>
      <c r="F293" t="inlineStr">
        <is>
          <t>Yes</t>
        </is>
      </c>
      <c r="G293" t="inlineStr">
        <is>
          <t>1</t>
        </is>
      </c>
      <c r="H293" t="inlineStr">
        <is>
          <t>No</t>
        </is>
      </c>
      <c r="I293" t="inlineStr">
        <is>
          <t>No</t>
        </is>
      </c>
      <c r="J293" t="inlineStr">
        <is>
          <t>0</t>
        </is>
      </c>
      <c r="L293" t="inlineStr">
        <is>
          <t>Leipzig-Berlin, Verlag Chemie g.m.b.h., 1924-</t>
        </is>
      </c>
      <c r="M293" t="inlineStr">
        <is>
          <t>1924</t>
        </is>
      </c>
      <c r="N293" t="inlineStr">
        <is>
          <t>8. aufl. Hrsg. von der Deutschen chemischen gesellschaft, bearb. von R.J. Meyer, unter beratender mitwirkung von Franz Peters.</t>
        </is>
      </c>
      <c r="O293" t="inlineStr">
        <is>
          <t>ger</t>
        </is>
      </c>
      <c r="P293" t="inlineStr">
        <is>
          <t xml:space="preserve">xx </t>
        </is>
      </c>
      <c r="R293" t="inlineStr">
        <is>
          <t xml:space="preserve">QD </t>
        </is>
      </c>
      <c r="S293" t="n">
        <v>1</v>
      </c>
      <c r="T293" t="n">
        <v>324</v>
      </c>
      <c r="U293" t="inlineStr">
        <is>
          <t>1998-07-27</t>
        </is>
      </c>
      <c r="V293" t="inlineStr">
        <is>
          <t>1998-07-28</t>
        </is>
      </c>
      <c r="W293" t="inlineStr">
        <is>
          <t>1997-06-09</t>
        </is>
      </c>
      <c r="X293" t="inlineStr">
        <is>
          <t>1998-06-24</t>
        </is>
      </c>
      <c r="Y293" t="n">
        <v>259</v>
      </c>
      <c r="Z293" t="n">
        <v>221</v>
      </c>
      <c r="AA293" t="n">
        <v>223</v>
      </c>
      <c r="AB293" t="n">
        <v>2</v>
      </c>
      <c r="AC293" t="n">
        <v>2</v>
      </c>
      <c r="AD293" t="n">
        <v>10</v>
      </c>
      <c r="AE293" t="n">
        <v>10</v>
      </c>
      <c r="AF293" t="n">
        <v>2</v>
      </c>
      <c r="AG293" t="n">
        <v>2</v>
      </c>
      <c r="AH293" t="n">
        <v>2</v>
      </c>
      <c r="AI293" t="n">
        <v>2</v>
      </c>
      <c r="AJ293" t="n">
        <v>8</v>
      </c>
      <c r="AK293" t="n">
        <v>8</v>
      </c>
      <c r="AL293" t="n">
        <v>1</v>
      </c>
      <c r="AM293" t="n">
        <v>1</v>
      </c>
      <c r="AN293" t="n">
        <v>0</v>
      </c>
      <c r="AO293" t="n">
        <v>0</v>
      </c>
      <c r="AP293" t="inlineStr">
        <is>
          <t>No</t>
        </is>
      </c>
      <c r="AQ293" t="inlineStr">
        <is>
          <t>Yes</t>
        </is>
      </c>
      <c r="AR293">
        <f>HYPERLINK("http://catalog.hathitrust.org/Record/009932175","HathiTrust Record")</f>
        <v/>
      </c>
      <c r="AS293">
        <f>HYPERLINK("https://creighton-primo.hosted.exlibrisgroup.com/primo-explore/search?tab=default_tab&amp;search_scope=EVERYTHING&amp;vid=01CRU&amp;lang=en_US&amp;offset=0&amp;query=any,contains,991005356889702656","Catalog Record")</f>
        <v/>
      </c>
      <c r="AT293">
        <f>HYPERLINK("http://www.worldcat.org/oclc/802031","WorldCat Record")</f>
        <v/>
      </c>
      <c r="AU293" t="inlineStr">
        <is>
          <t>4924721893:ger</t>
        </is>
      </c>
      <c r="AV293" t="inlineStr">
        <is>
          <t>802031</t>
        </is>
      </c>
      <c r="AW293" t="inlineStr">
        <is>
          <t>991005356889702656</t>
        </is>
      </c>
      <c r="AX293" t="inlineStr">
        <is>
          <t>991005356889702656</t>
        </is>
      </c>
      <c r="AY293" t="inlineStr">
        <is>
          <t>2270552310002656</t>
        </is>
      </c>
      <c r="AZ293" t="inlineStr">
        <is>
          <t>BOOK</t>
        </is>
      </c>
      <c r="BC293" t="inlineStr">
        <is>
          <t>32285002791241</t>
        </is>
      </c>
      <c r="BD293" t="inlineStr">
        <is>
          <t>893501799</t>
        </is>
      </c>
    </row>
    <row r="294">
      <c r="A294" t="inlineStr">
        <is>
          <t>No</t>
        </is>
      </c>
      <c r="B294" t="inlineStr">
        <is>
          <t>QD151 .G52 NO. 56 PT. B</t>
        </is>
      </c>
      <c r="C294" t="inlineStr">
        <is>
          <t>0                      QD 0151000G  52                                                      NO. 56 PT. B</t>
        </is>
      </c>
      <c r="D294" t="inlineStr">
        <is>
          <t>Gmelins Handbuch der anorganischen chemie.</t>
        </is>
      </c>
      <c r="E294" t="inlineStr">
        <is>
          <t>NO. 56 PT. B*</t>
        </is>
      </c>
      <c r="F294" t="inlineStr">
        <is>
          <t>Yes</t>
        </is>
      </c>
      <c r="G294" t="inlineStr">
        <is>
          <t>1</t>
        </is>
      </c>
      <c r="H294" t="inlineStr">
        <is>
          <t>No</t>
        </is>
      </c>
      <c r="I294" t="inlineStr">
        <is>
          <t>No</t>
        </is>
      </c>
      <c r="J294" t="inlineStr">
        <is>
          <t>0</t>
        </is>
      </c>
      <c r="L294" t="inlineStr">
        <is>
          <t>Leipzig-Berlin, Verlag Chemie g.m.b.h., 1924-</t>
        </is>
      </c>
      <c r="M294" t="inlineStr">
        <is>
          <t>1924</t>
        </is>
      </c>
      <c r="N294" t="inlineStr">
        <is>
          <t>8. aufl. Hrsg. von der Deutschen chemischen gesellschaft, bearb. von R.J. Meyer, unter beratender mitwirkung von Franz Peters.</t>
        </is>
      </c>
      <c r="O294" t="inlineStr">
        <is>
          <t>ger</t>
        </is>
      </c>
      <c r="P294" t="inlineStr">
        <is>
          <t xml:space="preserve">xx </t>
        </is>
      </c>
      <c r="R294" t="inlineStr">
        <is>
          <t xml:space="preserve">QD </t>
        </is>
      </c>
      <c r="S294" t="n">
        <v>1</v>
      </c>
      <c r="T294" t="n">
        <v>324</v>
      </c>
      <c r="U294" t="inlineStr">
        <is>
          <t>1998-07-27</t>
        </is>
      </c>
      <c r="V294" t="inlineStr">
        <is>
          <t>1998-07-28</t>
        </is>
      </c>
      <c r="W294" t="inlineStr">
        <is>
          <t>1997-06-05</t>
        </is>
      </c>
      <c r="X294" t="inlineStr">
        <is>
          <t>1998-06-24</t>
        </is>
      </c>
      <c r="Y294" t="n">
        <v>259</v>
      </c>
      <c r="Z294" t="n">
        <v>221</v>
      </c>
      <c r="AA294" t="n">
        <v>223</v>
      </c>
      <c r="AB294" t="n">
        <v>2</v>
      </c>
      <c r="AC294" t="n">
        <v>2</v>
      </c>
      <c r="AD294" t="n">
        <v>10</v>
      </c>
      <c r="AE294" t="n">
        <v>10</v>
      </c>
      <c r="AF294" t="n">
        <v>2</v>
      </c>
      <c r="AG294" t="n">
        <v>2</v>
      </c>
      <c r="AH294" t="n">
        <v>2</v>
      </c>
      <c r="AI294" t="n">
        <v>2</v>
      </c>
      <c r="AJ294" t="n">
        <v>8</v>
      </c>
      <c r="AK294" t="n">
        <v>8</v>
      </c>
      <c r="AL294" t="n">
        <v>1</v>
      </c>
      <c r="AM294" t="n">
        <v>1</v>
      </c>
      <c r="AN294" t="n">
        <v>0</v>
      </c>
      <c r="AO294" t="n">
        <v>0</v>
      </c>
      <c r="AP294" t="inlineStr">
        <is>
          <t>No</t>
        </is>
      </c>
      <c r="AQ294" t="inlineStr">
        <is>
          <t>Yes</t>
        </is>
      </c>
      <c r="AR294">
        <f>HYPERLINK("http://catalog.hathitrust.org/Record/009932175","HathiTrust Record")</f>
        <v/>
      </c>
      <c r="AS294">
        <f>HYPERLINK("https://creighton-primo.hosted.exlibrisgroup.com/primo-explore/search?tab=default_tab&amp;search_scope=EVERYTHING&amp;vid=01CRU&amp;lang=en_US&amp;offset=0&amp;query=any,contains,991005356889702656","Catalog Record")</f>
        <v/>
      </c>
      <c r="AT294">
        <f>HYPERLINK("http://www.worldcat.org/oclc/802031","WorldCat Record")</f>
        <v/>
      </c>
      <c r="AU294" t="inlineStr">
        <is>
          <t>4924721893:ger</t>
        </is>
      </c>
      <c r="AV294" t="inlineStr">
        <is>
          <t>802031</t>
        </is>
      </c>
      <c r="AW294" t="inlineStr">
        <is>
          <t>991005356889702656</t>
        </is>
      </c>
      <c r="AX294" t="inlineStr">
        <is>
          <t>991005356889702656</t>
        </is>
      </c>
      <c r="AY294" t="inlineStr">
        <is>
          <t>2270552310002656</t>
        </is>
      </c>
      <c r="AZ294" t="inlineStr">
        <is>
          <t>BOOK</t>
        </is>
      </c>
      <c r="BC294" t="inlineStr">
        <is>
          <t>32285002791274</t>
        </is>
      </c>
      <c r="BD294" t="inlineStr">
        <is>
          <t>893508080</t>
        </is>
      </c>
    </row>
    <row r="295">
      <c r="A295" t="inlineStr">
        <is>
          <t>No</t>
        </is>
      </c>
      <c r="B295" t="inlineStr">
        <is>
          <t>QD151 .G52 NO. 56 PT. C1</t>
        </is>
      </c>
      <c r="C295" t="inlineStr">
        <is>
          <t>0                      QD 0151000G  52                                                      NO. 56 PT. C1</t>
        </is>
      </c>
      <c r="D295" t="inlineStr">
        <is>
          <t>Gmelins Handbuch der anorganischen chemie.</t>
        </is>
      </c>
      <c r="E295" t="inlineStr">
        <is>
          <t>NO. 56 PT. C1*</t>
        </is>
      </c>
      <c r="F295" t="inlineStr">
        <is>
          <t>Yes</t>
        </is>
      </c>
      <c r="G295" t="inlineStr">
        <is>
          <t>1</t>
        </is>
      </c>
      <c r="H295" t="inlineStr">
        <is>
          <t>No</t>
        </is>
      </c>
      <c r="I295" t="inlineStr">
        <is>
          <t>No</t>
        </is>
      </c>
      <c r="J295" t="inlineStr">
        <is>
          <t>0</t>
        </is>
      </c>
      <c r="L295" t="inlineStr">
        <is>
          <t>Leipzig-Berlin, Verlag Chemie g.m.b.h., 1924-</t>
        </is>
      </c>
      <c r="M295" t="inlineStr">
        <is>
          <t>1924</t>
        </is>
      </c>
      <c r="N295" t="inlineStr">
        <is>
          <t>8. aufl. Hrsg. von der Deutschen chemischen gesellschaft, bearb. von R.J. Meyer, unter beratender mitwirkung von Franz Peters.</t>
        </is>
      </c>
      <c r="O295" t="inlineStr">
        <is>
          <t>ger</t>
        </is>
      </c>
      <c r="P295" t="inlineStr">
        <is>
          <t xml:space="preserve">xx </t>
        </is>
      </c>
      <c r="R295" t="inlineStr">
        <is>
          <t xml:space="preserve">QD </t>
        </is>
      </c>
      <c r="S295" t="n">
        <v>1</v>
      </c>
      <c r="T295" t="n">
        <v>324</v>
      </c>
      <c r="U295" t="inlineStr">
        <is>
          <t>1998-07-27</t>
        </is>
      </c>
      <c r="V295" t="inlineStr">
        <is>
          <t>1998-07-28</t>
        </is>
      </c>
      <c r="W295" t="inlineStr">
        <is>
          <t>1997-06-05</t>
        </is>
      </c>
      <c r="X295" t="inlineStr">
        <is>
          <t>1998-06-24</t>
        </is>
      </c>
      <c r="Y295" t="n">
        <v>259</v>
      </c>
      <c r="Z295" t="n">
        <v>221</v>
      </c>
      <c r="AA295" t="n">
        <v>223</v>
      </c>
      <c r="AB295" t="n">
        <v>2</v>
      </c>
      <c r="AC295" t="n">
        <v>2</v>
      </c>
      <c r="AD295" t="n">
        <v>10</v>
      </c>
      <c r="AE295" t="n">
        <v>10</v>
      </c>
      <c r="AF295" t="n">
        <v>2</v>
      </c>
      <c r="AG295" t="n">
        <v>2</v>
      </c>
      <c r="AH295" t="n">
        <v>2</v>
      </c>
      <c r="AI295" t="n">
        <v>2</v>
      </c>
      <c r="AJ295" t="n">
        <v>8</v>
      </c>
      <c r="AK295" t="n">
        <v>8</v>
      </c>
      <c r="AL295" t="n">
        <v>1</v>
      </c>
      <c r="AM295" t="n">
        <v>1</v>
      </c>
      <c r="AN295" t="n">
        <v>0</v>
      </c>
      <c r="AO295" t="n">
        <v>0</v>
      </c>
      <c r="AP295" t="inlineStr">
        <is>
          <t>No</t>
        </is>
      </c>
      <c r="AQ295" t="inlineStr">
        <is>
          <t>Yes</t>
        </is>
      </c>
      <c r="AR295">
        <f>HYPERLINK("http://catalog.hathitrust.org/Record/009932175","HathiTrust Record")</f>
        <v/>
      </c>
      <c r="AS295">
        <f>HYPERLINK("https://creighton-primo.hosted.exlibrisgroup.com/primo-explore/search?tab=default_tab&amp;search_scope=EVERYTHING&amp;vid=01CRU&amp;lang=en_US&amp;offset=0&amp;query=any,contains,991005356889702656","Catalog Record")</f>
        <v/>
      </c>
      <c r="AT295">
        <f>HYPERLINK("http://www.worldcat.org/oclc/802031","WorldCat Record")</f>
        <v/>
      </c>
      <c r="AU295" t="inlineStr">
        <is>
          <t>4924721893:ger</t>
        </is>
      </c>
      <c r="AV295" t="inlineStr">
        <is>
          <t>802031</t>
        </is>
      </c>
      <c r="AW295" t="inlineStr">
        <is>
          <t>991005356889702656</t>
        </is>
      </c>
      <c r="AX295" t="inlineStr">
        <is>
          <t>991005356889702656</t>
        </is>
      </c>
      <c r="AY295" t="inlineStr">
        <is>
          <t>2270552310002656</t>
        </is>
      </c>
      <c r="AZ295" t="inlineStr">
        <is>
          <t>BOOK</t>
        </is>
      </c>
      <c r="BC295" t="inlineStr">
        <is>
          <t>32285002791282</t>
        </is>
      </c>
      <c r="BD295" t="inlineStr">
        <is>
          <t>893514518</t>
        </is>
      </c>
    </row>
    <row r="296">
      <c r="A296" t="inlineStr">
        <is>
          <t>No</t>
        </is>
      </c>
      <c r="B296" t="inlineStr">
        <is>
          <t>QD151 .G52 NO. 56 PT. C2</t>
        </is>
      </c>
      <c r="C296" t="inlineStr">
        <is>
          <t>0                      QD 0151000G  52                                                      NO. 56 PT. C2</t>
        </is>
      </c>
      <c r="D296" t="inlineStr">
        <is>
          <t>Gmelins Handbuch der anorganischen chemie.</t>
        </is>
      </c>
      <c r="E296" t="inlineStr">
        <is>
          <t>NO. 56 PT. C2*</t>
        </is>
      </c>
      <c r="F296" t="inlineStr">
        <is>
          <t>Yes</t>
        </is>
      </c>
      <c r="G296" t="inlineStr">
        <is>
          <t>1</t>
        </is>
      </c>
      <c r="H296" t="inlineStr">
        <is>
          <t>No</t>
        </is>
      </c>
      <c r="I296" t="inlineStr">
        <is>
          <t>No</t>
        </is>
      </c>
      <c r="J296" t="inlineStr">
        <is>
          <t>0</t>
        </is>
      </c>
      <c r="L296" t="inlineStr">
        <is>
          <t>Leipzig-Berlin, Verlag Chemie g.m.b.h., 1924-</t>
        </is>
      </c>
      <c r="M296" t="inlineStr">
        <is>
          <t>1924</t>
        </is>
      </c>
      <c r="N296" t="inlineStr">
        <is>
          <t>8. aufl. Hrsg. von der Deutschen chemischen gesellschaft, bearb. von R.J. Meyer, unter beratender mitwirkung von Franz Peters.</t>
        </is>
      </c>
      <c r="O296" t="inlineStr">
        <is>
          <t>ger</t>
        </is>
      </c>
      <c r="P296" t="inlineStr">
        <is>
          <t xml:space="preserve">xx </t>
        </is>
      </c>
      <c r="R296" t="inlineStr">
        <is>
          <t xml:space="preserve">QD </t>
        </is>
      </c>
      <c r="S296" t="n">
        <v>1</v>
      </c>
      <c r="T296" t="n">
        <v>324</v>
      </c>
      <c r="U296" t="inlineStr">
        <is>
          <t>1998-07-27</t>
        </is>
      </c>
      <c r="V296" t="inlineStr">
        <is>
          <t>1998-07-28</t>
        </is>
      </c>
      <c r="W296" t="inlineStr">
        <is>
          <t>1997-06-05</t>
        </is>
      </c>
      <c r="X296" t="inlineStr">
        <is>
          <t>1998-06-24</t>
        </is>
      </c>
      <c r="Y296" t="n">
        <v>259</v>
      </c>
      <c r="Z296" t="n">
        <v>221</v>
      </c>
      <c r="AA296" t="n">
        <v>223</v>
      </c>
      <c r="AB296" t="n">
        <v>2</v>
      </c>
      <c r="AC296" t="n">
        <v>2</v>
      </c>
      <c r="AD296" t="n">
        <v>10</v>
      </c>
      <c r="AE296" t="n">
        <v>10</v>
      </c>
      <c r="AF296" t="n">
        <v>2</v>
      </c>
      <c r="AG296" t="n">
        <v>2</v>
      </c>
      <c r="AH296" t="n">
        <v>2</v>
      </c>
      <c r="AI296" t="n">
        <v>2</v>
      </c>
      <c r="AJ296" t="n">
        <v>8</v>
      </c>
      <c r="AK296" t="n">
        <v>8</v>
      </c>
      <c r="AL296" t="n">
        <v>1</v>
      </c>
      <c r="AM296" t="n">
        <v>1</v>
      </c>
      <c r="AN296" t="n">
        <v>0</v>
      </c>
      <c r="AO296" t="n">
        <v>0</v>
      </c>
      <c r="AP296" t="inlineStr">
        <is>
          <t>No</t>
        </is>
      </c>
      <c r="AQ296" t="inlineStr">
        <is>
          <t>Yes</t>
        </is>
      </c>
      <c r="AR296">
        <f>HYPERLINK("http://catalog.hathitrust.org/Record/009932175","HathiTrust Record")</f>
        <v/>
      </c>
      <c r="AS296">
        <f>HYPERLINK("https://creighton-primo.hosted.exlibrisgroup.com/primo-explore/search?tab=default_tab&amp;search_scope=EVERYTHING&amp;vid=01CRU&amp;lang=en_US&amp;offset=0&amp;query=any,contains,991005356889702656","Catalog Record")</f>
        <v/>
      </c>
      <c r="AT296">
        <f>HYPERLINK("http://www.worldcat.org/oclc/802031","WorldCat Record")</f>
        <v/>
      </c>
      <c r="AU296" t="inlineStr">
        <is>
          <t>4924721893:ger</t>
        </is>
      </c>
      <c r="AV296" t="inlineStr">
        <is>
          <t>802031</t>
        </is>
      </c>
      <c r="AW296" t="inlineStr">
        <is>
          <t>991005356889702656</t>
        </is>
      </c>
      <c r="AX296" t="inlineStr">
        <is>
          <t>991005356889702656</t>
        </is>
      </c>
      <c r="AY296" t="inlineStr">
        <is>
          <t>2270552310002656</t>
        </is>
      </c>
      <c r="AZ296" t="inlineStr">
        <is>
          <t>BOOK</t>
        </is>
      </c>
      <c r="BC296" t="inlineStr">
        <is>
          <t>32285002791290</t>
        </is>
      </c>
      <c r="BD296" t="inlineStr">
        <is>
          <t>893514546</t>
        </is>
      </c>
    </row>
    <row r="297">
      <c r="A297" t="inlineStr">
        <is>
          <t>No</t>
        </is>
      </c>
      <c r="B297" t="inlineStr">
        <is>
          <t>QD151 .G52 NO. 56 PT. C3</t>
        </is>
      </c>
      <c r="C297" t="inlineStr">
        <is>
          <t>0                      QD 0151000G  52                                                      NO. 56 PT. C3</t>
        </is>
      </c>
      <c r="D297" t="inlineStr">
        <is>
          <t>Gmelins Handbuch der anorganischen chemie.</t>
        </is>
      </c>
      <c r="E297" t="inlineStr">
        <is>
          <t>NO. 56 PT. C3*</t>
        </is>
      </c>
      <c r="F297" t="inlineStr">
        <is>
          <t>Yes</t>
        </is>
      </c>
      <c r="G297" t="inlineStr">
        <is>
          <t>1</t>
        </is>
      </c>
      <c r="H297" t="inlineStr">
        <is>
          <t>No</t>
        </is>
      </c>
      <c r="I297" t="inlineStr">
        <is>
          <t>No</t>
        </is>
      </c>
      <c r="J297" t="inlineStr">
        <is>
          <t>0</t>
        </is>
      </c>
      <c r="L297" t="inlineStr">
        <is>
          <t>Leipzig-Berlin, Verlag Chemie g.m.b.h., 1924-</t>
        </is>
      </c>
      <c r="M297" t="inlineStr">
        <is>
          <t>1924</t>
        </is>
      </c>
      <c r="N297" t="inlineStr">
        <is>
          <t>8. aufl. Hrsg. von der Deutschen chemischen gesellschaft, bearb. von R.J. Meyer, unter beratender mitwirkung von Franz Peters.</t>
        </is>
      </c>
      <c r="O297" t="inlineStr">
        <is>
          <t>ger</t>
        </is>
      </c>
      <c r="P297" t="inlineStr">
        <is>
          <t xml:space="preserve">xx </t>
        </is>
      </c>
      <c r="R297" t="inlineStr">
        <is>
          <t xml:space="preserve">QD </t>
        </is>
      </c>
      <c r="S297" t="n">
        <v>1</v>
      </c>
      <c r="T297" t="n">
        <v>324</v>
      </c>
      <c r="U297" t="inlineStr">
        <is>
          <t>1998-07-27</t>
        </is>
      </c>
      <c r="V297" t="inlineStr">
        <is>
          <t>1998-07-28</t>
        </is>
      </c>
      <c r="W297" t="inlineStr">
        <is>
          <t>1997-06-05</t>
        </is>
      </c>
      <c r="X297" t="inlineStr">
        <is>
          <t>1998-06-24</t>
        </is>
      </c>
      <c r="Y297" t="n">
        <v>259</v>
      </c>
      <c r="Z297" t="n">
        <v>221</v>
      </c>
      <c r="AA297" t="n">
        <v>223</v>
      </c>
      <c r="AB297" t="n">
        <v>2</v>
      </c>
      <c r="AC297" t="n">
        <v>2</v>
      </c>
      <c r="AD297" t="n">
        <v>10</v>
      </c>
      <c r="AE297" t="n">
        <v>10</v>
      </c>
      <c r="AF297" t="n">
        <v>2</v>
      </c>
      <c r="AG297" t="n">
        <v>2</v>
      </c>
      <c r="AH297" t="n">
        <v>2</v>
      </c>
      <c r="AI297" t="n">
        <v>2</v>
      </c>
      <c r="AJ297" t="n">
        <v>8</v>
      </c>
      <c r="AK297" t="n">
        <v>8</v>
      </c>
      <c r="AL297" t="n">
        <v>1</v>
      </c>
      <c r="AM297" t="n">
        <v>1</v>
      </c>
      <c r="AN297" t="n">
        <v>0</v>
      </c>
      <c r="AO297" t="n">
        <v>0</v>
      </c>
      <c r="AP297" t="inlineStr">
        <is>
          <t>No</t>
        </is>
      </c>
      <c r="AQ297" t="inlineStr">
        <is>
          <t>Yes</t>
        </is>
      </c>
      <c r="AR297">
        <f>HYPERLINK("http://catalog.hathitrust.org/Record/009932175","HathiTrust Record")</f>
        <v/>
      </c>
      <c r="AS297">
        <f>HYPERLINK("https://creighton-primo.hosted.exlibrisgroup.com/primo-explore/search?tab=default_tab&amp;search_scope=EVERYTHING&amp;vid=01CRU&amp;lang=en_US&amp;offset=0&amp;query=any,contains,991005356889702656","Catalog Record")</f>
        <v/>
      </c>
      <c r="AT297">
        <f>HYPERLINK("http://www.worldcat.org/oclc/802031","WorldCat Record")</f>
        <v/>
      </c>
      <c r="AU297" t="inlineStr">
        <is>
          <t>4924721893:ger</t>
        </is>
      </c>
      <c r="AV297" t="inlineStr">
        <is>
          <t>802031</t>
        </is>
      </c>
      <c r="AW297" t="inlineStr">
        <is>
          <t>991005356889702656</t>
        </is>
      </c>
      <c r="AX297" t="inlineStr">
        <is>
          <t>991005356889702656</t>
        </is>
      </c>
      <c r="AY297" t="inlineStr">
        <is>
          <t>2270552310002656</t>
        </is>
      </c>
      <c r="AZ297" t="inlineStr">
        <is>
          <t>BOOK</t>
        </is>
      </c>
      <c r="BC297" t="inlineStr">
        <is>
          <t>32285002791308</t>
        </is>
      </c>
      <c r="BD297" t="inlineStr">
        <is>
          <t>893514517</t>
        </is>
      </c>
    </row>
    <row r="298">
      <c r="A298" t="inlineStr">
        <is>
          <t>No</t>
        </is>
      </c>
      <c r="B298" t="inlineStr">
        <is>
          <t>QD151 .G52 NO. 56 PT. C4</t>
        </is>
      </c>
      <c r="C298" t="inlineStr">
        <is>
          <t>0                      QD 0151000G  52                                                      NO. 56 PT. C4</t>
        </is>
      </c>
      <c r="D298" t="inlineStr">
        <is>
          <t>Gmelins Handbuch der anorganischen chemie.</t>
        </is>
      </c>
      <c r="E298" t="inlineStr">
        <is>
          <t>NO. 56 PT. C4*</t>
        </is>
      </c>
      <c r="F298" t="inlineStr">
        <is>
          <t>Yes</t>
        </is>
      </c>
      <c r="G298" t="inlineStr">
        <is>
          <t>1</t>
        </is>
      </c>
      <c r="H298" t="inlineStr">
        <is>
          <t>No</t>
        </is>
      </c>
      <c r="I298" t="inlineStr">
        <is>
          <t>No</t>
        </is>
      </c>
      <c r="J298" t="inlineStr">
        <is>
          <t>0</t>
        </is>
      </c>
      <c r="L298" t="inlineStr">
        <is>
          <t>Leipzig-Berlin, Verlag Chemie g.m.b.h., 1924-</t>
        </is>
      </c>
      <c r="M298" t="inlineStr">
        <is>
          <t>1924</t>
        </is>
      </c>
      <c r="N298" t="inlineStr">
        <is>
          <t>8. aufl. Hrsg. von der Deutschen chemischen gesellschaft, bearb. von R.J. Meyer, unter beratender mitwirkung von Franz Peters.</t>
        </is>
      </c>
      <c r="O298" t="inlineStr">
        <is>
          <t>ger</t>
        </is>
      </c>
      <c r="P298" t="inlineStr">
        <is>
          <t xml:space="preserve">xx </t>
        </is>
      </c>
      <c r="R298" t="inlineStr">
        <is>
          <t xml:space="preserve">QD </t>
        </is>
      </c>
      <c r="S298" t="n">
        <v>1</v>
      </c>
      <c r="T298" t="n">
        <v>324</v>
      </c>
      <c r="U298" t="inlineStr">
        <is>
          <t>1998-07-27</t>
        </is>
      </c>
      <c r="V298" t="inlineStr">
        <is>
          <t>1998-07-28</t>
        </is>
      </c>
      <c r="W298" t="inlineStr">
        <is>
          <t>1997-06-05</t>
        </is>
      </c>
      <c r="X298" t="inlineStr">
        <is>
          <t>1998-06-24</t>
        </is>
      </c>
      <c r="Y298" t="n">
        <v>259</v>
      </c>
      <c r="Z298" t="n">
        <v>221</v>
      </c>
      <c r="AA298" t="n">
        <v>223</v>
      </c>
      <c r="AB298" t="n">
        <v>2</v>
      </c>
      <c r="AC298" t="n">
        <v>2</v>
      </c>
      <c r="AD298" t="n">
        <v>10</v>
      </c>
      <c r="AE298" t="n">
        <v>10</v>
      </c>
      <c r="AF298" t="n">
        <v>2</v>
      </c>
      <c r="AG298" t="n">
        <v>2</v>
      </c>
      <c r="AH298" t="n">
        <v>2</v>
      </c>
      <c r="AI298" t="n">
        <v>2</v>
      </c>
      <c r="AJ298" t="n">
        <v>8</v>
      </c>
      <c r="AK298" t="n">
        <v>8</v>
      </c>
      <c r="AL298" t="n">
        <v>1</v>
      </c>
      <c r="AM298" t="n">
        <v>1</v>
      </c>
      <c r="AN298" t="n">
        <v>0</v>
      </c>
      <c r="AO298" t="n">
        <v>0</v>
      </c>
      <c r="AP298" t="inlineStr">
        <is>
          <t>No</t>
        </is>
      </c>
      <c r="AQ298" t="inlineStr">
        <is>
          <t>Yes</t>
        </is>
      </c>
      <c r="AR298">
        <f>HYPERLINK("http://catalog.hathitrust.org/Record/009932175","HathiTrust Record")</f>
        <v/>
      </c>
      <c r="AS298">
        <f>HYPERLINK("https://creighton-primo.hosted.exlibrisgroup.com/primo-explore/search?tab=default_tab&amp;search_scope=EVERYTHING&amp;vid=01CRU&amp;lang=en_US&amp;offset=0&amp;query=any,contains,991005356889702656","Catalog Record")</f>
        <v/>
      </c>
      <c r="AT298">
        <f>HYPERLINK("http://www.worldcat.org/oclc/802031","WorldCat Record")</f>
        <v/>
      </c>
      <c r="AU298" t="inlineStr">
        <is>
          <t>4924721893:ger</t>
        </is>
      </c>
      <c r="AV298" t="inlineStr">
        <is>
          <t>802031</t>
        </is>
      </c>
      <c r="AW298" t="inlineStr">
        <is>
          <t>991005356889702656</t>
        </is>
      </c>
      <c r="AX298" t="inlineStr">
        <is>
          <t>991005356889702656</t>
        </is>
      </c>
      <c r="AY298" t="inlineStr">
        <is>
          <t>2270552310002656</t>
        </is>
      </c>
      <c r="AZ298" t="inlineStr">
        <is>
          <t>BOOK</t>
        </is>
      </c>
      <c r="BC298" t="inlineStr">
        <is>
          <t>32285002791316</t>
        </is>
      </c>
      <c r="BD298" t="inlineStr">
        <is>
          <t>893501798</t>
        </is>
      </c>
    </row>
    <row r="299">
      <c r="A299" t="inlineStr">
        <is>
          <t>No</t>
        </is>
      </c>
      <c r="B299" t="inlineStr">
        <is>
          <t>QD151 .G52 NO. 56 PT. C5</t>
        </is>
      </c>
      <c r="C299" t="inlineStr">
        <is>
          <t>0                      QD 0151000G  52                                                      NO. 56 PT. C5</t>
        </is>
      </c>
      <c r="D299" t="inlineStr">
        <is>
          <t>Gmelins Handbuch der anorganischen chemie.</t>
        </is>
      </c>
      <c r="E299" t="inlineStr">
        <is>
          <t>NO. 56 PT. C5*</t>
        </is>
      </c>
      <c r="F299" t="inlineStr">
        <is>
          <t>Yes</t>
        </is>
      </c>
      <c r="G299" t="inlineStr">
        <is>
          <t>1</t>
        </is>
      </c>
      <c r="H299" t="inlineStr">
        <is>
          <t>No</t>
        </is>
      </c>
      <c r="I299" t="inlineStr">
        <is>
          <t>No</t>
        </is>
      </c>
      <c r="J299" t="inlineStr">
        <is>
          <t>0</t>
        </is>
      </c>
      <c r="L299" t="inlineStr">
        <is>
          <t>Leipzig-Berlin, Verlag Chemie g.m.b.h., 1924-</t>
        </is>
      </c>
      <c r="M299" t="inlineStr">
        <is>
          <t>1924</t>
        </is>
      </c>
      <c r="N299" t="inlineStr">
        <is>
          <t>8. aufl. Hrsg. von der Deutschen chemischen gesellschaft, bearb. von R.J. Meyer, unter beratender mitwirkung von Franz Peters.</t>
        </is>
      </c>
      <c r="O299" t="inlineStr">
        <is>
          <t>ger</t>
        </is>
      </c>
      <c r="P299" t="inlineStr">
        <is>
          <t xml:space="preserve">xx </t>
        </is>
      </c>
      <c r="R299" t="inlineStr">
        <is>
          <t xml:space="preserve">QD </t>
        </is>
      </c>
      <c r="S299" t="n">
        <v>1</v>
      </c>
      <c r="T299" t="n">
        <v>324</v>
      </c>
      <c r="U299" t="inlineStr">
        <is>
          <t>1998-07-27</t>
        </is>
      </c>
      <c r="V299" t="inlineStr">
        <is>
          <t>1998-07-28</t>
        </is>
      </c>
      <c r="W299" t="inlineStr">
        <is>
          <t>1997-06-09</t>
        </is>
      </c>
      <c r="X299" t="inlineStr">
        <is>
          <t>1998-06-24</t>
        </is>
      </c>
      <c r="Y299" t="n">
        <v>259</v>
      </c>
      <c r="Z299" t="n">
        <v>221</v>
      </c>
      <c r="AA299" t="n">
        <v>223</v>
      </c>
      <c r="AB299" t="n">
        <v>2</v>
      </c>
      <c r="AC299" t="n">
        <v>2</v>
      </c>
      <c r="AD299" t="n">
        <v>10</v>
      </c>
      <c r="AE299" t="n">
        <v>10</v>
      </c>
      <c r="AF299" t="n">
        <v>2</v>
      </c>
      <c r="AG299" t="n">
        <v>2</v>
      </c>
      <c r="AH299" t="n">
        <v>2</v>
      </c>
      <c r="AI299" t="n">
        <v>2</v>
      </c>
      <c r="AJ299" t="n">
        <v>8</v>
      </c>
      <c r="AK299" t="n">
        <v>8</v>
      </c>
      <c r="AL299" t="n">
        <v>1</v>
      </c>
      <c r="AM299" t="n">
        <v>1</v>
      </c>
      <c r="AN299" t="n">
        <v>0</v>
      </c>
      <c r="AO299" t="n">
        <v>0</v>
      </c>
      <c r="AP299" t="inlineStr">
        <is>
          <t>No</t>
        </is>
      </c>
      <c r="AQ299" t="inlineStr">
        <is>
          <t>Yes</t>
        </is>
      </c>
      <c r="AR299">
        <f>HYPERLINK("http://catalog.hathitrust.org/Record/009932175","HathiTrust Record")</f>
        <v/>
      </c>
      <c r="AS299">
        <f>HYPERLINK("https://creighton-primo.hosted.exlibrisgroup.com/primo-explore/search?tab=default_tab&amp;search_scope=EVERYTHING&amp;vid=01CRU&amp;lang=en_US&amp;offset=0&amp;query=any,contains,991005356889702656","Catalog Record")</f>
        <v/>
      </c>
      <c r="AT299">
        <f>HYPERLINK("http://www.worldcat.org/oclc/802031","WorldCat Record")</f>
        <v/>
      </c>
      <c r="AU299" t="inlineStr">
        <is>
          <t>4924721893:ger</t>
        </is>
      </c>
      <c r="AV299" t="inlineStr">
        <is>
          <t>802031</t>
        </is>
      </c>
      <c r="AW299" t="inlineStr">
        <is>
          <t>991005356889702656</t>
        </is>
      </c>
      <c r="AX299" t="inlineStr">
        <is>
          <t>991005356889702656</t>
        </is>
      </c>
      <c r="AY299" t="inlineStr">
        <is>
          <t>2270552310002656</t>
        </is>
      </c>
      <c r="AZ299" t="inlineStr">
        <is>
          <t>BOOK</t>
        </is>
      </c>
      <c r="BC299" t="inlineStr">
        <is>
          <t>32285002791324</t>
        </is>
      </c>
      <c r="BD299" t="inlineStr">
        <is>
          <t>893508079</t>
        </is>
      </c>
    </row>
    <row r="300">
      <c r="A300" t="inlineStr">
        <is>
          <t>No</t>
        </is>
      </c>
      <c r="B300" t="inlineStr">
        <is>
          <t>QD151 .G52 NO. 56 PT. C6</t>
        </is>
      </c>
      <c r="C300" t="inlineStr">
        <is>
          <t>0                      QD 0151000G  52                                                      NO. 56 PT. C6</t>
        </is>
      </c>
      <c r="D300" t="inlineStr">
        <is>
          <t>Gmelins Handbuch der anorganischen chemie.</t>
        </is>
      </c>
      <c r="E300" t="inlineStr">
        <is>
          <t>NO. 56 PT. C6*</t>
        </is>
      </c>
      <c r="F300" t="inlineStr">
        <is>
          <t>Yes</t>
        </is>
      </c>
      <c r="G300" t="inlineStr">
        <is>
          <t>1</t>
        </is>
      </c>
      <c r="H300" t="inlineStr">
        <is>
          <t>No</t>
        </is>
      </c>
      <c r="I300" t="inlineStr">
        <is>
          <t>No</t>
        </is>
      </c>
      <c r="J300" t="inlineStr">
        <is>
          <t>0</t>
        </is>
      </c>
      <c r="L300" t="inlineStr">
        <is>
          <t>Leipzig-Berlin, Verlag Chemie g.m.b.h., 1924-</t>
        </is>
      </c>
      <c r="M300" t="inlineStr">
        <is>
          <t>1924</t>
        </is>
      </c>
      <c r="N300" t="inlineStr">
        <is>
          <t>8. aufl. Hrsg. von der Deutschen chemischen gesellschaft, bearb. von R.J. Meyer, unter beratender mitwirkung von Franz Peters.</t>
        </is>
      </c>
      <c r="O300" t="inlineStr">
        <is>
          <t>ger</t>
        </is>
      </c>
      <c r="P300" t="inlineStr">
        <is>
          <t xml:space="preserve">xx </t>
        </is>
      </c>
      <c r="R300" t="inlineStr">
        <is>
          <t xml:space="preserve">QD </t>
        </is>
      </c>
      <c r="S300" t="n">
        <v>1</v>
      </c>
      <c r="T300" t="n">
        <v>324</v>
      </c>
      <c r="U300" t="inlineStr">
        <is>
          <t>1998-07-27</t>
        </is>
      </c>
      <c r="V300" t="inlineStr">
        <is>
          <t>1998-07-28</t>
        </is>
      </c>
      <c r="W300" t="inlineStr">
        <is>
          <t>1997-06-05</t>
        </is>
      </c>
      <c r="X300" t="inlineStr">
        <is>
          <t>1998-06-24</t>
        </is>
      </c>
      <c r="Y300" t="n">
        <v>259</v>
      </c>
      <c r="Z300" t="n">
        <v>221</v>
      </c>
      <c r="AA300" t="n">
        <v>223</v>
      </c>
      <c r="AB300" t="n">
        <v>2</v>
      </c>
      <c r="AC300" t="n">
        <v>2</v>
      </c>
      <c r="AD300" t="n">
        <v>10</v>
      </c>
      <c r="AE300" t="n">
        <v>10</v>
      </c>
      <c r="AF300" t="n">
        <v>2</v>
      </c>
      <c r="AG300" t="n">
        <v>2</v>
      </c>
      <c r="AH300" t="n">
        <v>2</v>
      </c>
      <c r="AI300" t="n">
        <v>2</v>
      </c>
      <c r="AJ300" t="n">
        <v>8</v>
      </c>
      <c r="AK300" t="n">
        <v>8</v>
      </c>
      <c r="AL300" t="n">
        <v>1</v>
      </c>
      <c r="AM300" t="n">
        <v>1</v>
      </c>
      <c r="AN300" t="n">
        <v>0</v>
      </c>
      <c r="AO300" t="n">
        <v>0</v>
      </c>
      <c r="AP300" t="inlineStr">
        <is>
          <t>No</t>
        </is>
      </c>
      <c r="AQ300" t="inlineStr">
        <is>
          <t>Yes</t>
        </is>
      </c>
      <c r="AR300">
        <f>HYPERLINK("http://catalog.hathitrust.org/Record/009932175","HathiTrust Record")</f>
        <v/>
      </c>
      <c r="AS300">
        <f>HYPERLINK("https://creighton-primo.hosted.exlibrisgroup.com/primo-explore/search?tab=default_tab&amp;search_scope=EVERYTHING&amp;vid=01CRU&amp;lang=en_US&amp;offset=0&amp;query=any,contains,991005356889702656","Catalog Record")</f>
        <v/>
      </c>
      <c r="AT300">
        <f>HYPERLINK("http://www.worldcat.org/oclc/802031","WorldCat Record")</f>
        <v/>
      </c>
      <c r="AU300" t="inlineStr">
        <is>
          <t>4924721893:ger</t>
        </is>
      </c>
      <c r="AV300" t="inlineStr">
        <is>
          <t>802031</t>
        </is>
      </c>
      <c r="AW300" t="inlineStr">
        <is>
          <t>991005356889702656</t>
        </is>
      </c>
      <c r="AX300" t="inlineStr">
        <is>
          <t>991005356889702656</t>
        </is>
      </c>
      <c r="AY300" t="inlineStr">
        <is>
          <t>2270552310002656</t>
        </is>
      </c>
      <c r="AZ300" t="inlineStr">
        <is>
          <t>BOOK</t>
        </is>
      </c>
      <c r="BC300" t="inlineStr">
        <is>
          <t>32285002791332</t>
        </is>
      </c>
      <c r="BD300" t="inlineStr">
        <is>
          <t>893527443</t>
        </is>
      </c>
    </row>
    <row r="301">
      <c r="A301" t="inlineStr">
        <is>
          <t>No</t>
        </is>
      </c>
      <c r="B301" t="inlineStr">
        <is>
          <t>QD151 .G52 NO. 57 PT. A1</t>
        </is>
      </c>
      <c r="C301" t="inlineStr">
        <is>
          <t>0                      QD 0151000G  52                                                      NO. 57 PT. A1</t>
        </is>
      </c>
      <c r="D301" t="inlineStr">
        <is>
          <t>Gmelins Handbuch der anorganischen chemie.</t>
        </is>
      </c>
      <c r="E301" t="inlineStr">
        <is>
          <t>NO. 57 PT. A1*</t>
        </is>
      </c>
      <c r="F301" t="inlineStr">
        <is>
          <t>Yes</t>
        </is>
      </c>
      <c r="G301" t="inlineStr">
        <is>
          <t>1</t>
        </is>
      </c>
      <c r="H301" t="inlineStr">
        <is>
          <t>No</t>
        </is>
      </c>
      <c r="I301" t="inlineStr">
        <is>
          <t>No</t>
        </is>
      </c>
      <c r="J301" t="inlineStr">
        <is>
          <t>0</t>
        </is>
      </c>
      <c r="L301" t="inlineStr">
        <is>
          <t>Leipzig-Berlin, Verlag Chemie g.m.b.h., 1924-</t>
        </is>
      </c>
      <c r="M301" t="inlineStr">
        <is>
          <t>1924</t>
        </is>
      </c>
      <c r="N301" t="inlineStr">
        <is>
          <t>8. aufl. Hrsg. von der Deutschen chemischen gesellschaft, bearb. von R.J. Meyer, unter beratender mitwirkung von Franz Peters.</t>
        </is>
      </c>
      <c r="O301" t="inlineStr">
        <is>
          <t>ger</t>
        </is>
      </c>
      <c r="P301" t="inlineStr">
        <is>
          <t xml:space="preserve">xx </t>
        </is>
      </c>
      <c r="R301" t="inlineStr">
        <is>
          <t xml:space="preserve">QD </t>
        </is>
      </c>
      <c r="S301" t="n">
        <v>1</v>
      </c>
      <c r="T301" t="n">
        <v>324</v>
      </c>
      <c r="U301" t="inlineStr">
        <is>
          <t>1998-07-27</t>
        </is>
      </c>
      <c r="V301" t="inlineStr">
        <is>
          <t>1998-07-28</t>
        </is>
      </c>
      <c r="W301" t="inlineStr">
        <is>
          <t>1997-06-05</t>
        </is>
      </c>
      <c r="X301" t="inlineStr">
        <is>
          <t>1998-06-24</t>
        </is>
      </c>
      <c r="Y301" t="n">
        <v>259</v>
      </c>
      <c r="Z301" t="n">
        <v>221</v>
      </c>
      <c r="AA301" t="n">
        <v>223</v>
      </c>
      <c r="AB301" t="n">
        <v>2</v>
      </c>
      <c r="AC301" t="n">
        <v>2</v>
      </c>
      <c r="AD301" t="n">
        <v>10</v>
      </c>
      <c r="AE301" t="n">
        <v>10</v>
      </c>
      <c r="AF301" t="n">
        <v>2</v>
      </c>
      <c r="AG301" t="n">
        <v>2</v>
      </c>
      <c r="AH301" t="n">
        <v>2</v>
      </c>
      <c r="AI301" t="n">
        <v>2</v>
      </c>
      <c r="AJ301" t="n">
        <v>8</v>
      </c>
      <c r="AK301" t="n">
        <v>8</v>
      </c>
      <c r="AL301" t="n">
        <v>1</v>
      </c>
      <c r="AM301" t="n">
        <v>1</v>
      </c>
      <c r="AN301" t="n">
        <v>0</v>
      </c>
      <c r="AO301" t="n">
        <v>0</v>
      </c>
      <c r="AP301" t="inlineStr">
        <is>
          <t>No</t>
        </is>
      </c>
      <c r="AQ301" t="inlineStr">
        <is>
          <t>Yes</t>
        </is>
      </c>
      <c r="AR301">
        <f>HYPERLINK("http://catalog.hathitrust.org/Record/009932175","HathiTrust Record")</f>
        <v/>
      </c>
      <c r="AS301">
        <f>HYPERLINK("https://creighton-primo.hosted.exlibrisgroup.com/primo-explore/search?tab=default_tab&amp;search_scope=EVERYTHING&amp;vid=01CRU&amp;lang=en_US&amp;offset=0&amp;query=any,contains,991005356889702656","Catalog Record")</f>
        <v/>
      </c>
      <c r="AT301">
        <f>HYPERLINK("http://www.worldcat.org/oclc/802031","WorldCat Record")</f>
        <v/>
      </c>
      <c r="AU301" t="inlineStr">
        <is>
          <t>4924721893:ger</t>
        </is>
      </c>
      <c r="AV301" t="inlineStr">
        <is>
          <t>802031</t>
        </is>
      </c>
      <c r="AW301" t="inlineStr">
        <is>
          <t>991005356889702656</t>
        </is>
      </c>
      <c r="AX301" t="inlineStr">
        <is>
          <t>991005356889702656</t>
        </is>
      </c>
      <c r="AY301" t="inlineStr">
        <is>
          <t>2270552310002656</t>
        </is>
      </c>
      <c r="AZ301" t="inlineStr">
        <is>
          <t>BOOK</t>
        </is>
      </c>
      <c r="BC301" t="inlineStr">
        <is>
          <t>32285002791340</t>
        </is>
      </c>
      <c r="BD301" t="inlineStr">
        <is>
          <t>893520981</t>
        </is>
      </c>
    </row>
    <row r="302">
      <c r="A302" t="inlineStr">
        <is>
          <t>No</t>
        </is>
      </c>
      <c r="B302" t="inlineStr">
        <is>
          <t>QD151 .G52 NO. 57 PT. A2/1</t>
        </is>
      </c>
      <c r="C302" t="inlineStr">
        <is>
          <t>0                      QD 0151000G  52                                                      NO. 57 PT. A2 1</t>
        </is>
      </c>
      <c r="D302" t="inlineStr">
        <is>
          <t>Gmelins Handbuch der anorganischen chemie.</t>
        </is>
      </c>
      <c r="E302" t="inlineStr">
        <is>
          <t>NO. 57 PT. A2 1*</t>
        </is>
      </c>
      <c r="F302" t="inlineStr">
        <is>
          <t>Yes</t>
        </is>
      </c>
      <c r="G302" t="inlineStr">
        <is>
          <t>1</t>
        </is>
      </c>
      <c r="H302" t="inlineStr">
        <is>
          <t>No</t>
        </is>
      </c>
      <c r="I302" t="inlineStr">
        <is>
          <t>No</t>
        </is>
      </c>
      <c r="J302" t="inlineStr">
        <is>
          <t>0</t>
        </is>
      </c>
      <c r="L302" t="inlineStr">
        <is>
          <t>Leipzig-Berlin, Verlag Chemie g.m.b.h., 1924-</t>
        </is>
      </c>
      <c r="M302" t="inlineStr">
        <is>
          <t>1924</t>
        </is>
      </c>
      <c r="N302" t="inlineStr">
        <is>
          <t>8. aufl. Hrsg. von der Deutschen chemischen gesellschaft, bearb. von R.J. Meyer, unter beratender mitwirkung von Franz Peters.</t>
        </is>
      </c>
      <c r="O302" t="inlineStr">
        <is>
          <t>ger</t>
        </is>
      </c>
      <c r="P302" t="inlineStr">
        <is>
          <t xml:space="preserve">xx </t>
        </is>
      </c>
      <c r="R302" t="inlineStr">
        <is>
          <t xml:space="preserve">QD </t>
        </is>
      </c>
      <c r="S302" t="n">
        <v>1</v>
      </c>
      <c r="T302" t="n">
        <v>324</v>
      </c>
      <c r="U302" t="inlineStr">
        <is>
          <t>1998-07-27</t>
        </is>
      </c>
      <c r="V302" t="inlineStr">
        <is>
          <t>1998-07-28</t>
        </is>
      </c>
      <c r="W302" t="inlineStr">
        <is>
          <t>1997-06-05</t>
        </is>
      </c>
      <c r="X302" t="inlineStr">
        <is>
          <t>1998-06-24</t>
        </is>
      </c>
      <c r="Y302" t="n">
        <v>259</v>
      </c>
      <c r="Z302" t="n">
        <v>221</v>
      </c>
      <c r="AA302" t="n">
        <v>223</v>
      </c>
      <c r="AB302" t="n">
        <v>2</v>
      </c>
      <c r="AC302" t="n">
        <v>2</v>
      </c>
      <c r="AD302" t="n">
        <v>10</v>
      </c>
      <c r="AE302" t="n">
        <v>10</v>
      </c>
      <c r="AF302" t="n">
        <v>2</v>
      </c>
      <c r="AG302" t="n">
        <v>2</v>
      </c>
      <c r="AH302" t="n">
        <v>2</v>
      </c>
      <c r="AI302" t="n">
        <v>2</v>
      </c>
      <c r="AJ302" t="n">
        <v>8</v>
      </c>
      <c r="AK302" t="n">
        <v>8</v>
      </c>
      <c r="AL302" t="n">
        <v>1</v>
      </c>
      <c r="AM302" t="n">
        <v>1</v>
      </c>
      <c r="AN302" t="n">
        <v>0</v>
      </c>
      <c r="AO302" t="n">
        <v>0</v>
      </c>
      <c r="AP302" t="inlineStr">
        <is>
          <t>No</t>
        </is>
      </c>
      <c r="AQ302" t="inlineStr">
        <is>
          <t>Yes</t>
        </is>
      </c>
      <c r="AR302">
        <f>HYPERLINK("http://catalog.hathitrust.org/Record/009932175","HathiTrust Record")</f>
        <v/>
      </c>
      <c r="AS302">
        <f>HYPERLINK("https://creighton-primo.hosted.exlibrisgroup.com/primo-explore/search?tab=default_tab&amp;search_scope=EVERYTHING&amp;vid=01CRU&amp;lang=en_US&amp;offset=0&amp;query=any,contains,991005356889702656","Catalog Record")</f>
        <v/>
      </c>
      <c r="AT302">
        <f>HYPERLINK("http://www.worldcat.org/oclc/802031","WorldCat Record")</f>
        <v/>
      </c>
      <c r="AU302" t="inlineStr">
        <is>
          <t>4924721893:ger</t>
        </is>
      </c>
      <c r="AV302" t="inlineStr">
        <is>
          <t>802031</t>
        </is>
      </c>
      <c r="AW302" t="inlineStr">
        <is>
          <t>991005356889702656</t>
        </is>
      </c>
      <c r="AX302" t="inlineStr">
        <is>
          <t>991005356889702656</t>
        </is>
      </c>
      <c r="AY302" t="inlineStr">
        <is>
          <t>2270552310002656</t>
        </is>
      </c>
      <c r="AZ302" t="inlineStr">
        <is>
          <t>BOOK</t>
        </is>
      </c>
      <c r="BC302" t="inlineStr">
        <is>
          <t>32285002791357</t>
        </is>
      </c>
      <c r="BD302" t="inlineStr">
        <is>
          <t>893514545</t>
        </is>
      </c>
    </row>
    <row r="303">
      <c r="A303" t="inlineStr">
        <is>
          <t>No</t>
        </is>
      </c>
      <c r="B303" t="inlineStr">
        <is>
          <t>QD151 .G52 NO. 57 PT. A2/2</t>
        </is>
      </c>
      <c r="C303" t="inlineStr">
        <is>
          <t>0                      QD 0151000G  52                                                      NO. 57 PT. A2 2</t>
        </is>
      </c>
      <c r="D303" t="inlineStr">
        <is>
          <t>Gmelins Handbuch der anorganischen chemie.</t>
        </is>
      </c>
      <c r="E303" t="inlineStr">
        <is>
          <t>NO. 57 PT. A2 2*</t>
        </is>
      </c>
      <c r="F303" t="inlineStr">
        <is>
          <t>Yes</t>
        </is>
      </c>
      <c r="G303" t="inlineStr">
        <is>
          <t>1</t>
        </is>
      </c>
      <c r="H303" t="inlineStr">
        <is>
          <t>No</t>
        </is>
      </c>
      <c r="I303" t="inlineStr">
        <is>
          <t>No</t>
        </is>
      </c>
      <c r="J303" t="inlineStr">
        <is>
          <t>0</t>
        </is>
      </c>
      <c r="L303" t="inlineStr">
        <is>
          <t>Leipzig-Berlin, Verlag Chemie g.m.b.h., 1924-</t>
        </is>
      </c>
      <c r="M303" t="inlineStr">
        <is>
          <t>1924</t>
        </is>
      </c>
      <c r="N303" t="inlineStr">
        <is>
          <t>8. aufl. Hrsg. von der Deutschen chemischen gesellschaft, bearb. von R.J. Meyer, unter beratender mitwirkung von Franz Peters.</t>
        </is>
      </c>
      <c r="O303" t="inlineStr">
        <is>
          <t>ger</t>
        </is>
      </c>
      <c r="P303" t="inlineStr">
        <is>
          <t xml:space="preserve">xx </t>
        </is>
      </c>
      <c r="R303" t="inlineStr">
        <is>
          <t xml:space="preserve">QD </t>
        </is>
      </c>
      <c r="S303" t="n">
        <v>1</v>
      </c>
      <c r="T303" t="n">
        <v>324</v>
      </c>
      <c r="U303" t="inlineStr">
        <is>
          <t>1998-07-27</t>
        </is>
      </c>
      <c r="V303" t="inlineStr">
        <is>
          <t>1998-07-28</t>
        </is>
      </c>
      <c r="W303" t="inlineStr">
        <is>
          <t>1997-06-05</t>
        </is>
      </c>
      <c r="X303" t="inlineStr">
        <is>
          <t>1998-06-24</t>
        </is>
      </c>
      <c r="Y303" t="n">
        <v>259</v>
      </c>
      <c r="Z303" t="n">
        <v>221</v>
      </c>
      <c r="AA303" t="n">
        <v>223</v>
      </c>
      <c r="AB303" t="n">
        <v>2</v>
      </c>
      <c r="AC303" t="n">
        <v>2</v>
      </c>
      <c r="AD303" t="n">
        <v>10</v>
      </c>
      <c r="AE303" t="n">
        <v>10</v>
      </c>
      <c r="AF303" t="n">
        <v>2</v>
      </c>
      <c r="AG303" t="n">
        <v>2</v>
      </c>
      <c r="AH303" t="n">
        <v>2</v>
      </c>
      <c r="AI303" t="n">
        <v>2</v>
      </c>
      <c r="AJ303" t="n">
        <v>8</v>
      </c>
      <c r="AK303" t="n">
        <v>8</v>
      </c>
      <c r="AL303" t="n">
        <v>1</v>
      </c>
      <c r="AM303" t="n">
        <v>1</v>
      </c>
      <c r="AN303" t="n">
        <v>0</v>
      </c>
      <c r="AO303" t="n">
        <v>0</v>
      </c>
      <c r="AP303" t="inlineStr">
        <is>
          <t>No</t>
        </is>
      </c>
      <c r="AQ303" t="inlineStr">
        <is>
          <t>Yes</t>
        </is>
      </c>
      <c r="AR303">
        <f>HYPERLINK("http://catalog.hathitrust.org/Record/009932175","HathiTrust Record")</f>
        <v/>
      </c>
      <c r="AS303">
        <f>HYPERLINK("https://creighton-primo.hosted.exlibrisgroup.com/primo-explore/search?tab=default_tab&amp;search_scope=EVERYTHING&amp;vid=01CRU&amp;lang=en_US&amp;offset=0&amp;query=any,contains,991005356889702656","Catalog Record")</f>
        <v/>
      </c>
      <c r="AT303">
        <f>HYPERLINK("http://www.worldcat.org/oclc/802031","WorldCat Record")</f>
        <v/>
      </c>
      <c r="AU303" t="inlineStr">
        <is>
          <t>4924721893:ger</t>
        </is>
      </c>
      <c r="AV303" t="inlineStr">
        <is>
          <t>802031</t>
        </is>
      </c>
      <c r="AW303" t="inlineStr">
        <is>
          <t>991005356889702656</t>
        </is>
      </c>
      <c r="AX303" t="inlineStr">
        <is>
          <t>991005356889702656</t>
        </is>
      </c>
      <c r="AY303" t="inlineStr">
        <is>
          <t>2270552310002656</t>
        </is>
      </c>
      <c r="AZ303" t="inlineStr">
        <is>
          <t>BOOK</t>
        </is>
      </c>
      <c r="BC303" t="inlineStr">
        <is>
          <t>32285002791365</t>
        </is>
      </c>
      <c r="BD303" t="inlineStr">
        <is>
          <t>893520949</t>
        </is>
      </c>
    </row>
    <row r="304">
      <c r="A304" t="inlineStr">
        <is>
          <t>No</t>
        </is>
      </c>
      <c r="B304" t="inlineStr">
        <is>
          <t>QD151 .G52 NO. 57 PT. B</t>
        </is>
      </c>
      <c r="C304" t="inlineStr">
        <is>
          <t>0                      QD 0151000G  52                                                      NO. 57 PT. B</t>
        </is>
      </c>
      <c r="D304" t="inlineStr">
        <is>
          <t>Gmelins Handbuch der anorganischen chemie.</t>
        </is>
      </c>
      <c r="E304" t="inlineStr">
        <is>
          <t>NO. 57 PT. B*</t>
        </is>
      </c>
      <c r="F304" t="inlineStr">
        <is>
          <t>Yes</t>
        </is>
      </c>
      <c r="G304" t="inlineStr">
        <is>
          <t>1</t>
        </is>
      </c>
      <c r="H304" t="inlineStr">
        <is>
          <t>No</t>
        </is>
      </c>
      <c r="I304" t="inlineStr">
        <is>
          <t>No</t>
        </is>
      </c>
      <c r="J304" t="inlineStr">
        <is>
          <t>0</t>
        </is>
      </c>
      <c r="L304" t="inlineStr">
        <is>
          <t>Leipzig-Berlin, Verlag Chemie g.m.b.h., 1924-</t>
        </is>
      </c>
      <c r="M304" t="inlineStr">
        <is>
          <t>1924</t>
        </is>
      </c>
      <c r="N304" t="inlineStr">
        <is>
          <t>8. aufl. Hrsg. von der Deutschen chemischen gesellschaft, bearb. von R.J. Meyer, unter beratender mitwirkung von Franz Peters.</t>
        </is>
      </c>
      <c r="O304" t="inlineStr">
        <is>
          <t>ger</t>
        </is>
      </c>
      <c r="P304" t="inlineStr">
        <is>
          <t xml:space="preserve">xx </t>
        </is>
      </c>
      <c r="R304" t="inlineStr">
        <is>
          <t xml:space="preserve">QD </t>
        </is>
      </c>
      <c r="S304" t="n">
        <v>1</v>
      </c>
      <c r="T304" t="n">
        <v>324</v>
      </c>
      <c r="U304" t="inlineStr">
        <is>
          <t>1998-07-27</t>
        </is>
      </c>
      <c r="V304" t="inlineStr">
        <is>
          <t>1998-07-28</t>
        </is>
      </c>
      <c r="W304" t="inlineStr">
        <is>
          <t>1997-06-05</t>
        </is>
      </c>
      <c r="X304" t="inlineStr">
        <is>
          <t>1998-06-24</t>
        </is>
      </c>
      <c r="Y304" t="n">
        <v>259</v>
      </c>
      <c r="Z304" t="n">
        <v>221</v>
      </c>
      <c r="AA304" t="n">
        <v>223</v>
      </c>
      <c r="AB304" t="n">
        <v>2</v>
      </c>
      <c r="AC304" t="n">
        <v>2</v>
      </c>
      <c r="AD304" t="n">
        <v>10</v>
      </c>
      <c r="AE304" t="n">
        <v>10</v>
      </c>
      <c r="AF304" t="n">
        <v>2</v>
      </c>
      <c r="AG304" t="n">
        <v>2</v>
      </c>
      <c r="AH304" t="n">
        <v>2</v>
      </c>
      <c r="AI304" t="n">
        <v>2</v>
      </c>
      <c r="AJ304" t="n">
        <v>8</v>
      </c>
      <c r="AK304" t="n">
        <v>8</v>
      </c>
      <c r="AL304" t="n">
        <v>1</v>
      </c>
      <c r="AM304" t="n">
        <v>1</v>
      </c>
      <c r="AN304" t="n">
        <v>0</v>
      </c>
      <c r="AO304" t="n">
        <v>0</v>
      </c>
      <c r="AP304" t="inlineStr">
        <is>
          <t>No</t>
        </is>
      </c>
      <c r="AQ304" t="inlineStr">
        <is>
          <t>Yes</t>
        </is>
      </c>
      <c r="AR304">
        <f>HYPERLINK("http://catalog.hathitrust.org/Record/009932175","HathiTrust Record")</f>
        <v/>
      </c>
      <c r="AS304">
        <f>HYPERLINK("https://creighton-primo.hosted.exlibrisgroup.com/primo-explore/search?tab=default_tab&amp;search_scope=EVERYTHING&amp;vid=01CRU&amp;lang=en_US&amp;offset=0&amp;query=any,contains,991005356889702656","Catalog Record")</f>
        <v/>
      </c>
      <c r="AT304">
        <f>HYPERLINK("http://www.worldcat.org/oclc/802031","WorldCat Record")</f>
        <v/>
      </c>
      <c r="AU304" t="inlineStr">
        <is>
          <t>4924721893:ger</t>
        </is>
      </c>
      <c r="AV304" t="inlineStr">
        <is>
          <t>802031</t>
        </is>
      </c>
      <c r="AW304" t="inlineStr">
        <is>
          <t>991005356889702656</t>
        </is>
      </c>
      <c r="AX304" t="inlineStr">
        <is>
          <t>991005356889702656</t>
        </is>
      </c>
      <c r="AY304" t="inlineStr">
        <is>
          <t>2270552310002656</t>
        </is>
      </c>
      <c r="AZ304" t="inlineStr">
        <is>
          <t>BOOK</t>
        </is>
      </c>
      <c r="BC304" t="inlineStr">
        <is>
          <t>32285002791373</t>
        </is>
      </c>
      <c r="BD304" t="inlineStr">
        <is>
          <t>893508078</t>
        </is>
      </c>
    </row>
    <row r="305">
      <c r="A305" t="inlineStr">
        <is>
          <t>No</t>
        </is>
      </c>
      <c r="B305" t="inlineStr">
        <is>
          <t>QD151 .G52 NO. 57 PT. B2</t>
        </is>
      </c>
      <c r="C305" t="inlineStr">
        <is>
          <t>0                      QD 0151000G  52                                                      NO. 57 PT. B2</t>
        </is>
      </c>
      <c r="D305" t="inlineStr">
        <is>
          <t>Gmelins Handbuch der anorganischen chemie.</t>
        </is>
      </c>
      <c r="E305" t="inlineStr">
        <is>
          <t>NO. 57 PT. B2*</t>
        </is>
      </c>
      <c r="F305" t="inlineStr">
        <is>
          <t>Yes</t>
        </is>
      </c>
      <c r="G305" t="inlineStr">
        <is>
          <t>1</t>
        </is>
      </c>
      <c r="H305" t="inlineStr">
        <is>
          <t>No</t>
        </is>
      </c>
      <c r="I305" t="inlineStr">
        <is>
          <t>No</t>
        </is>
      </c>
      <c r="J305" t="inlineStr">
        <is>
          <t>0</t>
        </is>
      </c>
      <c r="L305" t="inlineStr">
        <is>
          <t>Leipzig-Berlin, Verlag Chemie g.m.b.h., 1924-</t>
        </is>
      </c>
      <c r="M305" t="inlineStr">
        <is>
          <t>1924</t>
        </is>
      </c>
      <c r="N305" t="inlineStr">
        <is>
          <t>8. aufl. Hrsg. von der Deutschen chemischen gesellschaft, bearb. von R.J. Meyer, unter beratender mitwirkung von Franz Peters.</t>
        </is>
      </c>
      <c r="O305" t="inlineStr">
        <is>
          <t>ger</t>
        </is>
      </c>
      <c r="P305" t="inlineStr">
        <is>
          <t xml:space="preserve">xx </t>
        </is>
      </c>
      <c r="R305" t="inlineStr">
        <is>
          <t xml:space="preserve">QD </t>
        </is>
      </c>
      <c r="S305" t="n">
        <v>1</v>
      </c>
      <c r="T305" t="n">
        <v>324</v>
      </c>
      <c r="U305" t="inlineStr">
        <is>
          <t>1998-07-27</t>
        </is>
      </c>
      <c r="V305" t="inlineStr">
        <is>
          <t>1998-07-28</t>
        </is>
      </c>
      <c r="W305" t="inlineStr">
        <is>
          <t>1997-06-05</t>
        </is>
      </c>
      <c r="X305" t="inlineStr">
        <is>
          <t>1998-06-24</t>
        </is>
      </c>
      <c r="Y305" t="n">
        <v>259</v>
      </c>
      <c r="Z305" t="n">
        <v>221</v>
      </c>
      <c r="AA305" t="n">
        <v>223</v>
      </c>
      <c r="AB305" t="n">
        <v>2</v>
      </c>
      <c r="AC305" t="n">
        <v>2</v>
      </c>
      <c r="AD305" t="n">
        <v>10</v>
      </c>
      <c r="AE305" t="n">
        <v>10</v>
      </c>
      <c r="AF305" t="n">
        <v>2</v>
      </c>
      <c r="AG305" t="n">
        <v>2</v>
      </c>
      <c r="AH305" t="n">
        <v>2</v>
      </c>
      <c r="AI305" t="n">
        <v>2</v>
      </c>
      <c r="AJ305" t="n">
        <v>8</v>
      </c>
      <c r="AK305" t="n">
        <v>8</v>
      </c>
      <c r="AL305" t="n">
        <v>1</v>
      </c>
      <c r="AM305" t="n">
        <v>1</v>
      </c>
      <c r="AN305" t="n">
        <v>0</v>
      </c>
      <c r="AO305" t="n">
        <v>0</v>
      </c>
      <c r="AP305" t="inlineStr">
        <is>
          <t>No</t>
        </is>
      </c>
      <c r="AQ305" t="inlineStr">
        <is>
          <t>Yes</t>
        </is>
      </c>
      <c r="AR305">
        <f>HYPERLINK("http://catalog.hathitrust.org/Record/009932175","HathiTrust Record")</f>
        <v/>
      </c>
      <c r="AS305">
        <f>HYPERLINK("https://creighton-primo.hosted.exlibrisgroup.com/primo-explore/search?tab=default_tab&amp;search_scope=EVERYTHING&amp;vid=01CRU&amp;lang=en_US&amp;offset=0&amp;query=any,contains,991005356889702656","Catalog Record")</f>
        <v/>
      </c>
      <c r="AT305">
        <f>HYPERLINK("http://www.worldcat.org/oclc/802031","WorldCat Record")</f>
        <v/>
      </c>
      <c r="AU305" t="inlineStr">
        <is>
          <t>4924721893:ger</t>
        </is>
      </c>
      <c r="AV305" t="inlineStr">
        <is>
          <t>802031</t>
        </is>
      </c>
      <c r="AW305" t="inlineStr">
        <is>
          <t>991005356889702656</t>
        </is>
      </c>
      <c r="AX305" t="inlineStr">
        <is>
          <t>991005356889702656</t>
        </is>
      </c>
      <c r="AY305" t="inlineStr">
        <is>
          <t>2270552310002656</t>
        </is>
      </c>
      <c r="AZ305" t="inlineStr">
        <is>
          <t>BOOK</t>
        </is>
      </c>
      <c r="BC305" t="inlineStr">
        <is>
          <t>32285002791381</t>
        </is>
      </c>
      <c r="BD305" t="inlineStr">
        <is>
          <t>893508077</t>
        </is>
      </c>
    </row>
    <row r="306">
      <c r="A306" t="inlineStr">
        <is>
          <t>No</t>
        </is>
      </c>
      <c r="B306" t="inlineStr">
        <is>
          <t>QD151 .G52 NO. 57 PT. B3</t>
        </is>
      </c>
      <c r="C306" t="inlineStr">
        <is>
          <t>0                      QD 0151000G  52                                                      NO. 57 PT. B3</t>
        </is>
      </c>
      <c r="D306" t="inlineStr">
        <is>
          <t>Gmelins Handbuch der anorganischen chemie.</t>
        </is>
      </c>
      <c r="E306" t="inlineStr">
        <is>
          <t>NO. 57 PT. B3*</t>
        </is>
      </c>
      <c r="F306" t="inlineStr">
        <is>
          <t>Yes</t>
        </is>
      </c>
      <c r="G306" t="inlineStr">
        <is>
          <t>1</t>
        </is>
      </c>
      <c r="H306" t="inlineStr">
        <is>
          <t>No</t>
        </is>
      </c>
      <c r="I306" t="inlineStr">
        <is>
          <t>No</t>
        </is>
      </c>
      <c r="J306" t="inlineStr">
        <is>
          <t>0</t>
        </is>
      </c>
      <c r="L306" t="inlineStr">
        <is>
          <t>Leipzig-Berlin, Verlag Chemie g.m.b.h., 1924-</t>
        </is>
      </c>
      <c r="M306" t="inlineStr">
        <is>
          <t>1924</t>
        </is>
      </c>
      <c r="N306" t="inlineStr">
        <is>
          <t>8. aufl. Hrsg. von der Deutschen chemischen gesellschaft, bearb. von R.J. Meyer, unter beratender mitwirkung von Franz Peters.</t>
        </is>
      </c>
      <c r="O306" t="inlineStr">
        <is>
          <t>ger</t>
        </is>
      </c>
      <c r="P306" t="inlineStr">
        <is>
          <t xml:space="preserve">xx </t>
        </is>
      </c>
      <c r="R306" t="inlineStr">
        <is>
          <t xml:space="preserve">QD </t>
        </is>
      </c>
      <c r="S306" t="n">
        <v>1</v>
      </c>
      <c r="T306" t="n">
        <v>324</v>
      </c>
      <c r="U306" t="inlineStr">
        <is>
          <t>1998-07-27</t>
        </is>
      </c>
      <c r="V306" t="inlineStr">
        <is>
          <t>1998-07-28</t>
        </is>
      </c>
      <c r="W306" t="inlineStr">
        <is>
          <t>1997-06-05</t>
        </is>
      </c>
      <c r="X306" t="inlineStr">
        <is>
          <t>1998-06-24</t>
        </is>
      </c>
      <c r="Y306" t="n">
        <v>259</v>
      </c>
      <c r="Z306" t="n">
        <v>221</v>
      </c>
      <c r="AA306" t="n">
        <v>223</v>
      </c>
      <c r="AB306" t="n">
        <v>2</v>
      </c>
      <c r="AC306" t="n">
        <v>2</v>
      </c>
      <c r="AD306" t="n">
        <v>10</v>
      </c>
      <c r="AE306" t="n">
        <v>10</v>
      </c>
      <c r="AF306" t="n">
        <v>2</v>
      </c>
      <c r="AG306" t="n">
        <v>2</v>
      </c>
      <c r="AH306" t="n">
        <v>2</v>
      </c>
      <c r="AI306" t="n">
        <v>2</v>
      </c>
      <c r="AJ306" t="n">
        <v>8</v>
      </c>
      <c r="AK306" t="n">
        <v>8</v>
      </c>
      <c r="AL306" t="n">
        <v>1</v>
      </c>
      <c r="AM306" t="n">
        <v>1</v>
      </c>
      <c r="AN306" t="n">
        <v>0</v>
      </c>
      <c r="AO306" t="n">
        <v>0</v>
      </c>
      <c r="AP306" t="inlineStr">
        <is>
          <t>No</t>
        </is>
      </c>
      <c r="AQ306" t="inlineStr">
        <is>
          <t>Yes</t>
        </is>
      </c>
      <c r="AR306">
        <f>HYPERLINK("http://catalog.hathitrust.org/Record/009932175","HathiTrust Record")</f>
        <v/>
      </c>
      <c r="AS306">
        <f>HYPERLINK("https://creighton-primo.hosted.exlibrisgroup.com/primo-explore/search?tab=default_tab&amp;search_scope=EVERYTHING&amp;vid=01CRU&amp;lang=en_US&amp;offset=0&amp;query=any,contains,991005356889702656","Catalog Record")</f>
        <v/>
      </c>
      <c r="AT306">
        <f>HYPERLINK("http://www.worldcat.org/oclc/802031","WorldCat Record")</f>
        <v/>
      </c>
      <c r="AU306" t="inlineStr">
        <is>
          <t>4924721893:ger</t>
        </is>
      </c>
      <c r="AV306" t="inlineStr">
        <is>
          <t>802031</t>
        </is>
      </c>
      <c r="AW306" t="inlineStr">
        <is>
          <t>991005356889702656</t>
        </is>
      </c>
      <c r="AX306" t="inlineStr">
        <is>
          <t>991005356889702656</t>
        </is>
      </c>
      <c r="AY306" t="inlineStr">
        <is>
          <t>2270552310002656</t>
        </is>
      </c>
      <c r="AZ306" t="inlineStr">
        <is>
          <t>BOOK</t>
        </is>
      </c>
      <c r="BC306" t="inlineStr">
        <is>
          <t>32285002791399</t>
        </is>
      </c>
      <c r="BD306" t="inlineStr">
        <is>
          <t>893520948</t>
        </is>
      </c>
    </row>
    <row r="307">
      <c r="A307" t="inlineStr">
        <is>
          <t>No</t>
        </is>
      </c>
      <c r="B307" t="inlineStr">
        <is>
          <t>QD151 .G52 NO. 57 PT. C1</t>
        </is>
      </c>
      <c r="C307" t="inlineStr">
        <is>
          <t>0                      QD 0151000G  52                                                      NO. 57 PT. C1</t>
        </is>
      </c>
      <c r="D307" t="inlineStr">
        <is>
          <t>Gmelins Handbuch der anorganischen chemie.</t>
        </is>
      </c>
      <c r="E307" t="inlineStr">
        <is>
          <t>NO. 57 PT. C1*</t>
        </is>
      </c>
      <c r="F307" t="inlineStr">
        <is>
          <t>Yes</t>
        </is>
      </c>
      <c r="G307" t="inlineStr">
        <is>
          <t>1</t>
        </is>
      </c>
      <c r="H307" t="inlineStr">
        <is>
          <t>No</t>
        </is>
      </c>
      <c r="I307" t="inlineStr">
        <is>
          <t>No</t>
        </is>
      </c>
      <c r="J307" t="inlineStr">
        <is>
          <t>0</t>
        </is>
      </c>
      <c r="L307" t="inlineStr">
        <is>
          <t>Leipzig-Berlin, Verlag Chemie g.m.b.h., 1924-</t>
        </is>
      </c>
      <c r="M307" t="inlineStr">
        <is>
          <t>1924</t>
        </is>
      </c>
      <c r="N307" t="inlineStr">
        <is>
          <t>8. aufl. Hrsg. von der Deutschen chemischen gesellschaft, bearb. von R.J. Meyer, unter beratender mitwirkung von Franz Peters.</t>
        </is>
      </c>
      <c r="O307" t="inlineStr">
        <is>
          <t>ger</t>
        </is>
      </c>
      <c r="P307" t="inlineStr">
        <is>
          <t xml:space="preserve">xx </t>
        </is>
      </c>
      <c r="R307" t="inlineStr">
        <is>
          <t xml:space="preserve">QD </t>
        </is>
      </c>
      <c r="S307" t="n">
        <v>1</v>
      </c>
      <c r="T307" t="n">
        <v>324</v>
      </c>
      <c r="U307" t="inlineStr">
        <is>
          <t>1998-07-27</t>
        </is>
      </c>
      <c r="V307" t="inlineStr">
        <is>
          <t>1998-07-28</t>
        </is>
      </c>
      <c r="W307" t="inlineStr">
        <is>
          <t>1997-06-05</t>
        </is>
      </c>
      <c r="X307" t="inlineStr">
        <is>
          <t>1998-06-24</t>
        </is>
      </c>
      <c r="Y307" t="n">
        <v>259</v>
      </c>
      <c r="Z307" t="n">
        <v>221</v>
      </c>
      <c r="AA307" t="n">
        <v>223</v>
      </c>
      <c r="AB307" t="n">
        <v>2</v>
      </c>
      <c r="AC307" t="n">
        <v>2</v>
      </c>
      <c r="AD307" t="n">
        <v>10</v>
      </c>
      <c r="AE307" t="n">
        <v>10</v>
      </c>
      <c r="AF307" t="n">
        <v>2</v>
      </c>
      <c r="AG307" t="n">
        <v>2</v>
      </c>
      <c r="AH307" t="n">
        <v>2</v>
      </c>
      <c r="AI307" t="n">
        <v>2</v>
      </c>
      <c r="AJ307" t="n">
        <v>8</v>
      </c>
      <c r="AK307" t="n">
        <v>8</v>
      </c>
      <c r="AL307" t="n">
        <v>1</v>
      </c>
      <c r="AM307" t="n">
        <v>1</v>
      </c>
      <c r="AN307" t="n">
        <v>0</v>
      </c>
      <c r="AO307" t="n">
        <v>0</v>
      </c>
      <c r="AP307" t="inlineStr">
        <is>
          <t>No</t>
        </is>
      </c>
      <c r="AQ307" t="inlineStr">
        <is>
          <t>Yes</t>
        </is>
      </c>
      <c r="AR307">
        <f>HYPERLINK("http://catalog.hathitrust.org/Record/009932175","HathiTrust Record")</f>
        <v/>
      </c>
      <c r="AS307">
        <f>HYPERLINK("https://creighton-primo.hosted.exlibrisgroup.com/primo-explore/search?tab=default_tab&amp;search_scope=EVERYTHING&amp;vid=01CRU&amp;lang=en_US&amp;offset=0&amp;query=any,contains,991005356889702656","Catalog Record")</f>
        <v/>
      </c>
      <c r="AT307">
        <f>HYPERLINK("http://www.worldcat.org/oclc/802031","WorldCat Record")</f>
        <v/>
      </c>
      <c r="AU307" t="inlineStr">
        <is>
          <t>4924721893:ger</t>
        </is>
      </c>
      <c r="AV307" t="inlineStr">
        <is>
          <t>802031</t>
        </is>
      </c>
      <c r="AW307" t="inlineStr">
        <is>
          <t>991005356889702656</t>
        </is>
      </c>
      <c r="AX307" t="inlineStr">
        <is>
          <t>991005356889702656</t>
        </is>
      </c>
      <c r="AY307" t="inlineStr">
        <is>
          <t>2270552310002656</t>
        </is>
      </c>
      <c r="AZ307" t="inlineStr">
        <is>
          <t>BOOK</t>
        </is>
      </c>
      <c r="BC307" t="inlineStr">
        <is>
          <t>32285002791407</t>
        </is>
      </c>
      <c r="BD307" t="inlineStr">
        <is>
          <t>893520947</t>
        </is>
      </c>
    </row>
    <row r="308">
      <c r="A308" t="inlineStr">
        <is>
          <t>No</t>
        </is>
      </c>
      <c r="B308" t="inlineStr">
        <is>
          <t>QD151 .G52 NO. 57 PT. C2</t>
        </is>
      </c>
      <c r="C308" t="inlineStr">
        <is>
          <t>0                      QD 0151000G  52                                                      NO. 57 PT. C2</t>
        </is>
      </c>
      <c r="D308" t="inlineStr">
        <is>
          <t>Gmelins Handbuch der anorganischen chemie.</t>
        </is>
      </c>
      <c r="E308" t="inlineStr">
        <is>
          <t>NO. 57 PT. C2*</t>
        </is>
      </c>
      <c r="F308" t="inlineStr">
        <is>
          <t>Yes</t>
        </is>
      </c>
      <c r="G308" t="inlineStr">
        <is>
          <t>1</t>
        </is>
      </c>
      <c r="H308" t="inlineStr">
        <is>
          <t>No</t>
        </is>
      </c>
      <c r="I308" t="inlineStr">
        <is>
          <t>No</t>
        </is>
      </c>
      <c r="J308" t="inlineStr">
        <is>
          <t>0</t>
        </is>
      </c>
      <c r="L308" t="inlineStr">
        <is>
          <t>Leipzig-Berlin, Verlag Chemie g.m.b.h., 1924-</t>
        </is>
      </c>
      <c r="M308" t="inlineStr">
        <is>
          <t>1924</t>
        </is>
      </c>
      <c r="N308" t="inlineStr">
        <is>
          <t>8. aufl. Hrsg. von der Deutschen chemischen gesellschaft, bearb. von R.J. Meyer, unter beratender mitwirkung von Franz Peters.</t>
        </is>
      </c>
      <c r="O308" t="inlineStr">
        <is>
          <t>ger</t>
        </is>
      </c>
      <c r="P308" t="inlineStr">
        <is>
          <t xml:space="preserve">xx </t>
        </is>
      </c>
      <c r="R308" t="inlineStr">
        <is>
          <t xml:space="preserve">QD </t>
        </is>
      </c>
      <c r="S308" t="n">
        <v>1</v>
      </c>
      <c r="T308" t="n">
        <v>324</v>
      </c>
      <c r="U308" t="inlineStr">
        <is>
          <t>1998-07-27</t>
        </is>
      </c>
      <c r="V308" t="inlineStr">
        <is>
          <t>1998-07-28</t>
        </is>
      </c>
      <c r="W308" t="inlineStr">
        <is>
          <t>1997-06-05</t>
        </is>
      </c>
      <c r="X308" t="inlineStr">
        <is>
          <t>1998-06-24</t>
        </is>
      </c>
      <c r="Y308" t="n">
        <v>259</v>
      </c>
      <c r="Z308" t="n">
        <v>221</v>
      </c>
      <c r="AA308" t="n">
        <v>223</v>
      </c>
      <c r="AB308" t="n">
        <v>2</v>
      </c>
      <c r="AC308" t="n">
        <v>2</v>
      </c>
      <c r="AD308" t="n">
        <v>10</v>
      </c>
      <c r="AE308" t="n">
        <v>10</v>
      </c>
      <c r="AF308" t="n">
        <v>2</v>
      </c>
      <c r="AG308" t="n">
        <v>2</v>
      </c>
      <c r="AH308" t="n">
        <v>2</v>
      </c>
      <c r="AI308" t="n">
        <v>2</v>
      </c>
      <c r="AJ308" t="n">
        <v>8</v>
      </c>
      <c r="AK308" t="n">
        <v>8</v>
      </c>
      <c r="AL308" t="n">
        <v>1</v>
      </c>
      <c r="AM308" t="n">
        <v>1</v>
      </c>
      <c r="AN308" t="n">
        <v>0</v>
      </c>
      <c r="AO308" t="n">
        <v>0</v>
      </c>
      <c r="AP308" t="inlineStr">
        <is>
          <t>No</t>
        </is>
      </c>
      <c r="AQ308" t="inlineStr">
        <is>
          <t>Yes</t>
        </is>
      </c>
      <c r="AR308">
        <f>HYPERLINK("http://catalog.hathitrust.org/Record/009932175","HathiTrust Record")</f>
        <v/>
      </c>
      <c r="AS308">
        <f>HYPERLINK("https://creighton-primo.hosted.exlibrisgroup.com/primo-explore/search?tab=default_tab&amp;search_scope=EVERYTHING&amp;vid=01CRU&amp;lang=en_US&amp;offset=0&amp;query=any,contains,991005356889702656","Catalog Record")</f>
        <v/>
      </c>
      <c r="AT308">
        <f>HYPERLINK("http://www.worldcat.org/oclc/802031","WorldCat Record")</f>
        <v/>
      </c>
      <c r="AU308" t="inlineStr">
        <is>
          <t>4924721893:ger</t>
        </is>
      </c>
      <c r="AV308" t="inlineStr">
        <is>
          <t>802031</t>
        </is>
      </c>
      <c r="AW308" t="inlineStr">
        <is>
          <t>991005356889702656</t>
        </is>
      </c>
      <c r="AX308" t="inlineStr">
        <is>
          <t>991005356889702656</t>
        </is>
      </c>
      <c r="AY308" t="inlineStr">
        <is>
          <t>2270552310002656</t>
        </is>
      </c>
      <c r="AZ308" t="inlineStr">
        <is>
          <t>BOOK</t>
        </is>
      </c>
      <c r="BC308" t="inlineStr">
        <is>
          <t>32285002791415</t>
        </is>
      </c>
      <c r="BD308" t="inlineStr">
        <is>
          <t>893514516</t>
        </is>
      </c>
    </row>
    <row r="309">
      <c r="A309" t="inlineStr">
        <is>
          <t>No</t>
        </is>
      </c>
      <c r="B309" t="inlineStr">
        <is>
          <t>QD151 .G52 NO. 58 PT. A1</t>
        </is>
      </c>
      <c r="C309" t="inlineStr">
        <is>
          <t>0                      QD 0151000G  52                                                      NO. 58 PT. A1</t>
        </is>
      </c>
      <c r="D309" t="inlineStr">
        <is>
          <t>Gmelins Handbuch der anorganischen chemie.</t>
        </is>
      </c>
      <c r="E309" t="inlineStr">
        <is>
          <t>NO. 58 PT. A1*</t>
        </is>
      </c>
      <c r="F309" t="inlineStr">
        <is>
          <t>Yes</t>
        </is>
      </c>
      <c r="G309" t="inlineStr">
        <is>
          <t>1</t>
        </is>
      </c>
      <c r="H309" t="inlineStr">
        <is>
          <t>No</t>
        </is>
      </c>
      <c r="I309" t="inlineStr">
        <is>
          <t>No</t>
        </is>
      </c>
      <c r="J309" t="inlineStr">
        <is>
          <t>0</t>
        </is>
      </c>
      <c r="L309" t="inlineStr">
        <is>
          <t>Leipzig-Berlin, Verlag Chemie g.m.b.h., 1924-</t>
        </is>
      </c>
      <c r="M309" t="inlineStr">
        <is>
          <t>1924</t>
        </is>
      </c>
      <c r="N309" t="inlineStr">
        <is>
          <t>8. aufl. Hrsg. von der Deutschen chemischen gesellschaft, bearb. von R.J. Meyer, unter beratender mitwirkung von Franz Peters.</t>
        </is>
      </c>
      <c r="O309" t="inlineStr">
        <is>
          <t>ger</t>
        </is>
      </c>
      <c r="P309" t="inlineStr">
        <is>
          <t xml:space="preserve">xx </t>
        </is>
      </c>
      <c r="R309" t="inlineStr">
        <is>
          <t xml:space="preserve">QD </t>
        </is>
      </c>
      <c r="S309" t="n">
        <v>1</v>
      </c>
      <c r="T309" t="n">
        <v>324</v>
      </c>
      <c r="U309" t="inlineStr">
        <is>
          <t>1998-07-27</t>
        </is>
      </c>
      <c r="V309" t="inlineStr">
        <is>
          <t>1998-07-28</t>
        </is>
      </c>
      <c r="W309" t="inlineStr">
        <is>
          <t>1997-06-09</t>
        </is>
      </c>
      <c r="X309" t="inlineStr">
        <is>
          <t>1998-06-24</t>
        </is>
      </c>
      <c r="Y309" t="n">
        <v>259</v>
      </c>
      <c r="Z309" t="n">
        <v>221</v>
      </c>
      <c r="AA309" t="n">
        <v>223</v>
      </c>
      <c r="AB309" t="n">
        <v>2</v>
      </c>
      <c r="AC309" t="n">
        <v>2</v>
      </c>
      <c r="AD309" t="n">
        <v>10</v>
      </c>
      <c r="AE309" t="n">
        <v>10</v>
      </c>
      <c r="AF309" t="n">
        <v>2</v>
      </c>
      <c r="AG309" t="n">
        <v>2</v>
      </c>
      <c r="AH309" t="n">
        <v>2</v>
      </c>
      <c r="AI309" t="n">
        <v>2</v>
      </c>
      <c r="AJ309" t="n">
        <v>8</v>
      </c>
      <c r="AK309" t="n">
        <v>8</v>
      </c>
      <c r="AL309" t="n">
        <v>1</v>
      </c>
      <c r="AM309" t="n">
        <v>1</v>
      </c>
      <c r="AN309" t="n">
        <v>0</v>
      </c>
      <c r="AO309" t="n">
        <v>0</v>
      </c>
      <c r="AP309" t="inlineStr">
        <is>
          <t>No</t>
        </is>
      </c>
      <c r="AQ309" t="inlineStr">
        <is>
          <t>Yes</t>
        </is>
      </c>
      <c r="AR309">
        <f>HYPERLINK("http://catalog.hathitrust.org/Record/009932175","HathiTrust Record")</f>
        <v/>
      </c>
      <c r="AS309">
        <f>HYPERLINK("https://creighton-primo.hosted.exlibrisgroup.com/primo-explore/search?tab=default_tab&amp;search_scope=EVERYTHING&amp;vid=01CRU&amp;lang=en_US&amp;offset=0&amp;query=any,contains,991005356889702656","Catalog Record")</f>
        <v/>
      </c>
      <c r="AT309">
        <f>HYPERLINK("http://www.worldcat.org/oclc/802031","WorldCat Record")</f>
        <v/>
      </c>
      <c r="AU309" t="inlineStr">
        <is>
          <t>4924721893:ger</t>
        </is>
      </c>
      <c r="AV309" t="inlineStr">
        <is>
          <t>802031</t>
        </is>
      </c>
      <c r="AW309" t="inlineStr">
        <is>
          <t>991005356889702656</t>
        </is>
      </c>
      <c r="AX309" t="inlineStr">
        <is>
          <t>991005356889702656</t>
        </is>
      </c>
      <c r="AY309" t="inlineStr">
        <is>
          <t>2270552310002656</t>
        </is>
      </c>
      <c r="AZ309" t="inlineStr">
        <is>
          <t>BOOK</t>
        </is>
      </c>
      <c r="BC309" t="inlineStr">
        <is>
          <t>32285002791464</t>
        </is>
      </c>
      <c r="BD309" t="inlineStr">
        <is>
          <t>893520946</t>
        </is>
      </c>
    </row>
    <row r="310">
      <c r="A310" t="inlineStr">
        <is>
          <t>No</t>
        </is>
      </c>
      <c r="B310" t="inlineStr">
        <is>
          <t>QD151 .G52 NO. 58 PT. A2</t>
        </is>
      </c>
      <c r="C310" t="inlineStr">
        <is>
          <t>0                      QD 0151000G  52                                                      NO. 58 PT. A2</t>
        </is>
      </c>
      <c r="D310" t="inlineStr">
        <is>
          <t>Gmelins Handbuch der anorganischen chemie.</t>
        </is>
      </c>
      <c r="E310" t="inlineStr">
        <is>
          <t>NO. 58 PT. A2*</t>
        </is>
      </c>
      <c r="F310" t="inlineStr">
        <is>
          <t>Yes</t>
        </is>
      </c>
      <c r="G310" t="inlineStr">
        <is>
          <t>1</t>
        </is>
      </c>
      <c r="H310" t="inlineStr">
        <is>
          <t>No</t>
        </is>
      </c>
      <c r="I310" t="inlineStr">
        <is>
          <t>No</t>
        </is>
      </c>
      <c r="J310" t="inlineStr">
        <is>
          <t>0</t>
        </is>
      </c>
      <c r="L310" t="inlineStr">
        <is>
          <t>Leipzig-Berlin, Verlag Chemie g.m.b.h., 1924-</t>
        </is>
      </c>
      <c r="M310" t="inlineStr">
        <is>
          <t>1924</t>
        </is>
      </c>
      <c r="N310" t="inlineStr">
        <is>
          <t>8. aufl. Hrsg. von der Deutschen chemischen gesellschaft, bearb. von R.J. Meyer, unter beratender mitwirkung von Franz Peters.</t>
        </is>
      </c>
      <c r="O310" t="inlineStr">
        <is>
          <t>ger</t>
        </is>
      </c>
      <c r="P310" t="inlineStr">
        <is>
          <t xml:space="preserve">xx </t>
        </is>
      </c>
      <c r="R310" t="inlineStr">
        <is>
          <t xml:space="preserve">QD </t>
        </is>
      </c>
      <c r="S310" t="n">
        <v>1</v>
      </c>
      <c r="T310" t="n">
        <v>324</v>
      </c>
      <c r="U310" t="inlineStr">
        <is>
          <t>1998-07-27</t>
        </is>
      </c>
      <c r="V310" t="inlineStr">
        <is>
          <t>1998-07-28</t>
        </is>
      </c>
      <c r="W310" t="inlineStr">
        <is>
          <t>1997-06-09</t>
        </is>
      </c>
      <c r="X310" t="inlineStr">
        <is>
          <t>1998-06-24</t>
        </is>
      </c>
      <c r="Y310" t="n">
        <v>259</v>
      </c>
      <c r="Z310" t="n">
        <v>221</v>
      </c>
      <c r="AA310" t="n">
        <v>223</v>
      </c>
      <c r="AB310" t="n">
        <v>2</v>
      </c>
      <c r="AC310" t="n">
        <v>2</v>
      </c>
      <c r="AD310" t="n">
        <v>10</v>
      </c>
      <c r="AE310" t="n">
        <v>10</v>
      </c>
      <c r="AF310" t="n">
        <v>2</v>
      </c>
      <c r="AG310" t="n">
        <v>2</v>
      </c>
      <c r="AH310" t="n">
        <v>2</v>
      </c>
      <c r="AI310" t="n">
        <v>2</v>
      </c>
      <c r="AJ310" t="n">
        <v>8</v>
      </c>
      <c r="AK310" t="n">
        <v>8</v>
      </c>
      <c r="AL310" t="n">
        <v>1</v>
      </c>
      <c r="AM310" t="n">
        <v>1</v>
      </c>
      <c r="AN310" t="n">
        <v>0</v>
      </c>
      <c r="AO310" t="n">
        <v>0</v>
      </c>
      <c r="AP310" t="inlineStr">
        <is>
          <t>No</t>
        </is>
      </c>
      <c r="AQ310" t="inlineStr">
        <is>
          <t>Yes</t>
        </is>
      </c>
      <c r="AR310">
        <f>HYPERLINK("http://catalog.hathitrust.org/Record/009932175","HathiTrust Record")</f>
        <v/>
      </c>
      <c r="AS310">
        <f>HYPERLINK("https://creighton-primo.hosted.exlibrisgroup.com/primo-explore/search?tab=default_tab&amp;search_scope=EVERYTHING&amp;vid=01CRU&amp;lang=en_US&amp;offset=0&amp;query=any,contains,991005356889702656","Catalog Record")</f>
        <v/>
      </c>
      <c r="AT310">
        <f>HYPERLINK("http://www.worldcat.org/oclc/802031","WorldCat Record")</f>
        <v/>
      </c>
      <c r="AU310" t="inlineStr">
        <is>
          <t>4924721893:ger</t>
        </is>
      </c>
      <c r="AV310" t="inlineStr">
        <is>
          <t>802031</t>
        </is>
      </c>
      <c r="AW310" t="inlineStr">
        <is>
          <t>991005356889702656</t>
        </is>
      </c>
      <c r="AX310" t="inlineStr">
        <is>
          <t>991005356889702656</t>
        </is>
      </c>
      <c r="AY310" t="inlineStr">
        <is>
          <t>2270552310002656</t>
        </is>
      </c>
      <c r="AZ310" t="inlineStr">
        <is>
          <t>BOOK</t>
        </is>
      </c>
      <c r="BC310" t="inlineStr">
        <is>
          <t>32285002791472</t>
        </is>
      </c>
      <c r="BD310" t="inlineStr">
        <is>
          <t>893501797</t>
        </is>
      </c>
    </row>
    <row r="311">
      <c r="A311" t="inlineStr">
        <is>
          <t>No</t>
        </is>
      </c>
      <c r="B311" t="inlineStr">
        <is>
          <t>QD151 .G52 NO. 58 PT. B</t>
        </is>
      </c>
      <c r="C311" t="inlineStr">
        <is>
          <t>0                      QD 0151000G  52                                                      NO. 58 PT. B</t>
        </is>
      </c>
      <c r="D311" t="inlineStr">
        <is>
          <t>Gmelins Handbuch der anorganischen chemie.</t>
        </is>
      </c>
      <c r="E311" t="inlineStr">
        <is>
          <t>NO. 58 PT. B*</t>
        </is>
      </c>
      <c r="F311" t="inlineStr">
        <is>
          <t>Yes</t>
        </is>
      </c>
      <c r="G311" t="inlineStr">
        <is>
          <t>1</t>
        </is>
      </c>
      <c r="H311" t="inlineStr">
        <is>
          <t>No</t>
        </is>
      </c>
      <c r="I311" t="inlineStr">
        <is>
          <t>No</t>
        </is>
      </c>
      <c r="J311" t="inlineStr">
        <is>
          <t>0</t>
        </is>
      </c>
      <c r="L311" t="inlineStr">
        <is>
          <t>Leipzig-Berlin, Verlag Chemie g.m.b.h., 1924-</t>
        </is>
      </c>
      <c r="M311" t="inlineStr">
        <is>
          <t>1924</t>
        </is>
      </c>
      <c r="N311" t="inlineStr">
        <is>
          <t>8. aufl. Hrsg. von der Deutschen chemischen gesellschaft, bearb. von R.J. Meyer, unter beratender mitwirkung von Franz Peters.</t>
        </is>
      </c>
      <c r="O311" t="inlineStr">
        <is>
          <t>ger</t>
        </is>
      </c>
      <c r="P311" t="inlineStr">
        <is>
          <t xml:space="preserve">xx </t>
        </is>
      </c>
      <c r="R311" t="inlineStr">
        <is>
          <t xml:space="preserve">QD </t>
        </is>
      </c>
      <c r="S311" t="n">
        <v>1</v>
      </c>
      <c r="T311" t="n">
        <v>324</v>
      </c>
      <c r="U311" t="inlineStr">
        <is>
          <t>1998-07-27</t>
        </is>
      </c>
      <c r="V311" t="inlineStr">
        <is>
          <t>1998-07-28</t>
        </is>
      </c>
      <c r="W311" t="inlineStr">
        <is>
          <t>1997-06-09</t>
        </is>
      </c>
      <c r="X311" t="inlineStr">
        <is>
          <t>1998-06-24</t>
        </is>
      </c>
      <c r="Y311" t="n">
        <v>259</v>
      </c>
      <c r="Z311" t="n">
        <v>221</v>
      </c>
      <c r="AA311" t="n">
        <v>223</v>
      </c>
      <c r="AB311" t="n">
        <v>2</v>
      </c>
      <c r="AC311" t="n">
        <v>2</v>
      </c>
      <c r="AD311" t="n">
        <v>10</v>
      </c>
      <c r="AE311" t="n">
        <v>10</v>
      </c>
      <c r="AF311" t="n">
        <v>2</v>
      </c>
      <c r="AG311" t="n">
        <v>2</v>
      </c>
      <c r="AH311" t="n">
        <v>2</v>
      </c>
      <c r="AI311" t="n">
        <v>2</v>
      </c>
      <c r="AJ311" t="n">
        <v>8</v>
      </c>
      <c r="AK311" t="n">
        <v>8</v>
      </c>
      <c r="AL311" t="n">
        <v>1</v>
      </c>
      <c r="AM311" t="n">
        <v>1</v>
      </c>
      <c r="AN311" t="n">
        <v>0</v>
      </c>
      <c r="AO311" t="n">
        <v>0</v>
      </c>
      <c r="AP311" t="inlineStr">
        <is>
          <t>No</t>
        </is>
      </c>
      <c r="AQ311" t="inlineStr">
        <is>
          <t>Yes</t>
        </is>
      </c>
      <c r="AR311">
        <f>HYPERLINK("http://catalog.hathitrust.org/Record/009932175","HathiTrust Record")</f>
        <v/>
      </c>
      <c r="AS311">
        <f>HYPERLINK("https://creighton-primo.hosted.exlibrisgroup.com/primo-explore/search?tab=default_tab&amp;search_scope=EVERYTHING&amp;vid=01CRU&amp;lang=en_US&amp;offset=0&amp;query=any,contains,991005356889702656","Catalog Record")</f>
        <v/>
      </c>
      <c r="AT311">
        <f>HYPERLINK("http://www.worldcat.org/oclc/802031","WorldCat Record")</f>
        <v/>
      </c>
      <c r="AU311" t="inlineStr">
        <is>
          <t>4924721893:ger</t>
        </is>
      </c>
      <c r="AV311" t="inlineStr">
        <is>
          <t>802031</t>
        </is>
      </c>
      <c r="AW311" t="inlineStr">
        <is>
          <t>991005356889702656</t>
        </is>
      </c>
      <c r="AX311" t="inlineStr">
        <is>
          <t>991005356889702656</t>
        </is>
      </c>
      <c r="AY311" t="inlineStr">
        <is>
          <t>2270552310002656</t>
        </is>
      </c>
      <c r="AZ311" t="inlineStr">
        <is>
          <t>BOOK</t>
        </is>
      </c>
      <c r="BC311" t="inlineStr">
        <is>
          <t>32285002791498</t>
        </is>
      </c>
      <c r="BD311" t="inlineStr">
        <is>
          <t>893520945</t>
        </is>
      </c>
    </row>
    <row r="312">
      <c r="A312" t="inlineStr">
        <is>
          <t>No</t>
        </is>
      </c>
      <c r="B312" t="inlineStr">
        <is>
          <t>QD151 .G52 NO. 58 SUPP. 1 PT. B</t>
        </is>
      </c>
      <c r="C312" t="inlineStr">
        <is>
          <t>0                      QD 0151000G  52                                                      NO. 58 SUPP. 1 PT. B</t>
        </is>
      </c>
      <c r="D312" t="inlineStr">
        <is>
          <t>Gmelins Handbuch der anorganischen chemie.</t>
        </is>
      </c>
      <c r="E312" t="inlineStr">
        <is>
          <t>NO. 58 SUPP. 1 PT. B*</t>
        </is>
      </c>
      <c r="F312" t="inlineStr">
        <is>
          <t>Yes</t>
        </is>
      </c>
      <c r="G312" t="inlineStr">
        <is>
          <t>1</t>
        </is>
      </c>
      <c r="H312" t="inlineStr">
        <is>
          <t>No</t>
        </is>
      </c>
      <c r="I312" t="inlineStr">
        <is>
          <t>No</t>
        </is>
      </c>
      <c r="J312" t="inlineStr">
        <is>
          <t>0</t>
        </is>
      </c>
      <c r="L312" t="inlineStr">
        <is>
          <t>Leipzig-Berlin, Verlag Chemie g.m.b.h., 1924-</t>
        </is>
      </c>
      <c r="M312" t="inlineStr">
        <is>
          <t>1924</t>
        </is>
      </c>
      <c r="N312" t="inlineStr">
        <is>
          <t>8. aufl. Hrsg. von der Deutschen chemischen gesellschaft, bearb. von R.J. Meyer, unter beratender mitwirkung von Franz Peters.</t>
        </is>
      </c>
      <c r="O312" t="inlineStr">
        <is>
          <t>ger</t>
        </is>
      </c>
      <c r="P312" t="inlineStr">
        <is>
          <t xml:space="preserve">xx </t>
        </is>
      </c>
      <c r="R312" t="inlineStr">
        <is>
          <t xml:space="preserve">QD </t>
        </is>
      </c>
      <c r="S312" t="n">
        <v>1</v>
      </c>
      <c r="T312" t="n">
        <v>324</v>
      </c>
      <c r="U312" t="inlineStr">
        <is>
          <t>1998-07-27</t>
        </is>
      </c>
      <c r="V312" t="inlineStr">
        <is>
          <t>1998-07-28</t>
        </is>
      </c>
      <c r="W312" t="inlineStr">
        <is>
          <t>1997-06-09</t>
        </is>
      </c>
      <c r="X312" t="inlineStr">
        <is>
          <t>1998-06-24</t>
        </is>
      </c>
      <c r="Y312" t="n">
        <v>259</v>
      </c>
      <c r="Z312" t="n">
        <v>221</v>
      </c>
      <c r="AA312" t="n">
        <v>223</v>
      </c>
      <c r="AB312" t="n">
        <v>2</v>
      </c>
      <c r="AC312" t="n">
        <v>2</v>
      </c>
      <c r="AD312" t="n">
        <v>10</v>
      </c>
      <c r="AE312" t="n">
        <v>10</v>
      </c>
      <c r="AF312" t="n">
        <v>2</v>
      </c>
      <c r="AG312" t="n">
        <v>2</v>
      </c>
      <c r="AH312" t="n">
        <v>2</v>
      </c>
      <c r="AI312" t="n">
        <v>2</v>
      </c>
      <c r="AJ312" t="n">
        <v>8</v>
      </c>
      <c r="AK312" t="n">
        <v>8</v>
      </c>
      <c r="AL312" t="n">
        <v>1</v>
      </c>
      <c r="AM312" t="n">
        <v>1</v>
      </c>
      <c r="AN312" t="n">
        <v>0</v>
      </c>
      <c r="AO312" t="n">
        <v>0</v>
      </c>
      <c r="AP312" t="inlineStr">
        <is>
          <t>No</t>
        </is>
      </c>
      <c r="AQ312" t="inlineStr">
        <is>
          <t>Yes</t>
        </is>
      </c>
      <c r="AR312">
        <f>HYPERLINK("http://catalog.hathitrust.org/Record/009932175","HathiTrust Record")</f>
        <v/>
      </c>
      <c r="AS312">
        <f>HYPERLINK("https://creighton-primo.hosted.exlibrisgroup.com/primo-explore/search?tab=default_tab&amp;search_scope=EVERYTHING&amp;vid=01CRU&amp;lang=en_US&amp;offset=0&amp;query=any,contains,991005356889702656","Catalog Record")</f>
        <v/>
      </c>
      <c r="AT312">
        <f>HYPERLINK("http://www.worldcat.org/oclc/802031","WorldCat Record")</f>
        <v/>
      </c>
      <c r="AU312" t="inlineStr">
        <is>
          <t>4924721893:ger</t>
        </is>
      </c>
      <c r="AV312" t="inlineStr">
        <is>
          <t>802031</t>
        </is>
      </c>
      <c r="AW312" t="inlineStr">
        <is>
          <t>991005356889702656</t>
        </is>
      </c>
      <c r="AX312" t="inlineStr">
        <is>
          <t>991005356889702656</t>
        </is>
      </c>
      <c r="AY312" t="inlineStr">
        <is>
          <t>2270552310002656</t>
        </is>
      </c>
      <c r="AZ312" t="inlineStr">
        <is>
          <t>BOOK</t>
        </is>
      </c>
      <c r="BC312" t="inlineStr">
        <is>
          <t>32285002791506</t>
        </is>
      </c>
      <c r="BD312" t="inlineStr">
        <is>
          <t>893520944</t>
        </is>
      </c>
    </row>
    <row r="313">
      <c r="A313" t="inlineStr">
        <is>
          <t>No</t>
        </is>
      </c>
      <c r="B313" t="inlineStr">
        <is>
          <t>QD151 .G52 NO. 58 SUPP. 2 PT. B</t>
        </is>
      </c>
      <c r="C313" t="inlineStr">
        <is>
          <t>0                      QD 0151000G  52                                                      NO. 58 SUPP. 2 PT. B</t>
        </is>
      </c>
      <c r="D313" t="inlineStr">
        <is>
          <t>Gmelins Handbuch der anorganischen chemie.</t>
        </is>
      </c>
      <c r="E313" t="inlineStr">
        <is>
          <t>NO. 58 SUPP. 2 PT. B*</t>
        </is>
      </c>
      <c r="F313" t="inlineStr">
        <is>
          <t>Yes</t>
        </is>
      </c>
      <c r="G313" t="inlineStr">
        <is>
          <t>1</t>
        </is>
      </c>
      <c r="H313" t="inlineStr">
        <is>
          <t>No</t>
        </is>
      </c>
      <c r="I313" t="inlineStr">
        <is>
          <t>No</t>
        </is>
      </c>
      <c r="J313" t="inlineStr">
        <is>
          <t>0</t>
        </is>
      </c>
      <c r="L313" t="inlineStr">
        <is>
          <t>Leipzig-Berlin, Verlag Chemie g.m.b.h., 1924-</t>
        </is>
      </c>
      <c r="M313" t="inlineStr">
        <is>
          <t>1924</t>
        </is>
      </c>
      <c r="N313" t="inlineStr">
        <is>
          <t>8. aufl. Hrsg. von der Deutschen chemischen gesellschaft, bearb. von R.J. Meyer, unter beratender mitwirkung von Franz Peters.</t>
        </is>
      </c>
      <c r="O313" t="inlineStr">
        <is>
          <t>ger</t>
        </is>
      </c>
      <c r="P313" t="inlineStr">
        <is>
          <t xml:space="preserve">xx </t>
        </is>
      </c>
      <c r="R313" t="inlineStr">
        <is>
          <t xml:space="preserve">QD </t>
        </is>
      </c>
      <c r="S313" t="n">
        <v>1</v>
      </c>
      <c r="T313" t="n">
        <v>324</v>
      </c>
      <c r="U313" t="inlineStr">
        <is>
          <t>1998-07-27</t>
        </is>
      </c>
      <c r="V313" t="inlineStr">
        <is>
          <t>1998-07-28</t>
        </is>
      </c>
      <c r="W313" t="inlineStr">
        <is>
          <t>1997-06-09</t>
        </is>
      </c>
      <c r="X313" t="inlineStr">
        <is>
          <t>1998-06-24</t>
        </is>
      </c>
      <c r="Y313" t="n">
        <v>259</v>
      </c>
      <c r="Z313" t="n">
        <v>221</v>
      </c>
      <c r="AA313" t="n">
        <v>223</v>
      </c>
      <c r="AB313" t="n">
        <v>2</v>
      </c>
      <c r="AC313" t="n">
        <v>2</v>
      </c>
      <c r="AD313" t="n">
        <v>10</v>
      </c>
      <c r="AE313" t="n">
        <v>10</v>
      </c>
      <c r="AF313" t="n">
        <v>2</v>
      </c>
      <c r="AG313" t="n">
        <v>2</v>
      </c>
      <c r="AH313" t="n">
        <v>2</v>
      </c>
      <c r="AI313" t="n">
        <v>2</v>
      </c>
      <c r="AJ313" t="n">
        <v>8</v>
      </c>
      <c r="AK313" t="n">
        <v>8</v>
      </c>
      <c r="AL313" t="n">
        <v>1</v>
      </c>
      <c r="AM313" t="n">
        <v>1</v>
      </c>
      <c r="AN313" t="n">
        <v>0</v>
      </c>
      <c r="AO313" t="n">
        <v>0</v>
      </c>
      <c r="AP313" t="inlineStr">
        <is>
          <t>No</t>
        </is>
      </c>
      <c r="AQ313" t="inlineStr">
        <is>
          <t>Yes</t>
        </is>
      </c>
      <c r="AR313">
        <f>HYPERLINK("http://catalog.hathitrust.org/Record/009932175","HathiTrust Record")</f>
        <v/>
      </c>
      <c r="AS313">
        <f>HYPERLINK("https://creighton-primo.hosted.exlibrisgroup.com/primo-explore/search?tab=default_tab&amp;search_scope=EVERYTHING&amp;vid=01CRU&amp;lang=en_US&amp;offset=0&amp;query=any,contains,991005356889702656","Catalog Record")</f>
        <v/>
      </c>
      <c r="AT313">
        <f>HYPERLINK("http://www.worldcat.org/oclc/802031","WorldCat Record")</f>
        <v/>
      </c>
      <c r="AU313" t="inlineStr">
        <is>
          <t>4924721893:ger</t>
        </is>
      </c>
      <c r="AV313" t="inlineStr">
        <is>
          <t>802031</t>
        </is>
      </c>
      <c r="AW313" t="inlineStr">
        <is>
          <t>991005356889702656</t>
        </is>
      </c>
      <c r="AX313" t="inlineStr">
        <is>
          <t>991005356889702656</t>
        </is>
      </c>
      <c r="AY313" t="inlineStr">
        <is>
          <t>2270552310002656</t>
        </is>
      </c>
      <c r="AZ313" t="inlineStr">
        <is>
          <t>BOOK</t>
        </is>
      </c>
      <c r="BC313" t="inlineStr">
        <is>
          <t>32285002791514</t>
        </is>
      </c>
      <c r="BD313" t="inlineStr">
        <is>
          <t>893501796</t>
        </is>
      </c>
    </row>
    <row r="314">
      <c r="A314" t="inlineStr">
        <is>
          <t>No</t>
        </is>
      </c>
      <c r="B314" t="inlineStr">
        <is>
          <t>QD151 .G52 NO. 58 SUPP. PA</t>
        </is>
      </c>
      <c r="C314" t="inlineStr">
        <is>
          <t>0                      QD 0151000G  52                                                      NO. 58 SUPP. PA</t>
        </is>
      </c>
      <c r="D314" t="inlineStr">
        <is>
          <t>Gmelins Handbuch der anorganischen chemie.</t>
        </is>
      </c>
      <c r="E314" t="inlineStr">
        <is>
          <t>NO. 58 SUPP. PA*</t>
        </is>
      </c>
      <c r="F314" t="inlineStr">
        <is>
          <t>Yes</t>
        </is>
      </c>
      <c r="G314" t="inlineStr">
        <is>
          <t>1</t>
        </is>
      </c>
      <c r="H314" t="inlineStr">
        <is>
          <t>No</t>
        </is>
      </c>
      <c r="I314" t="inlineStr">
        <is>
          <t>No</t>
        </is>
      </c>
      <c r="J314" t="inlineStr">
        <is>
          <t>0</t>
        </is>
      </c>
      <c r="L314" t="inlineStr">
        <is>
          <t>Leipzig-Berlin, Verlag Chemie g.m.b.h., 1924-</t>
        </is>
      </c>
      <c r="M314" t="inlineStr">
        <is>
          <t>1924</t>
        </is>
      </c>
      <c r="N314" t="inlineStr">
        <is>
          <t>8. aufl. Hrsg. von der Deutschen chemischen gesellschaft, bearb. von R.J. Meyer, unter beratender mitwirkung von Franz Peters.</t>
        </is>
      </c>
      <c r="O314" t="inlineStr">
        <is>
          <t>ger</t>
        </is>
      </c>
      <c r="P314" t="inlineStr">
        <is>
          <t xml:space="preserve">xx </t>
        </is>
      </c>
      <c r="R314" t="inlineStr">
        <is>
          <t xml:space="preserve">QD </t>
        </is>
      </c>
      <c r="S314" t="n">
        <v>1</v>
      </c>
      <c r="T314" t="n">
        <v>324</v>
      </c>
      <c r="U314" t="inlineStr">
        <is>
          <t>1998-07-27</t>
        </is>
      </c>
      <c r="V314" t="inlineStr">
        <is>
          <t>1998-07-28</t>
        </is>
      </c>
      <c r="W314" t="inlineStr">
        <is>
          <t>1997-06-09</t>
        </is>
      </c>
      <c r="X314" t="inlineStr">
        <is>
          <t>1998-06-24</t>
        </is>
      </c>
      <c r="Y314" t="n">
        <v>259</v>
      </c>
      <c r="Z314" t="n">
        <v>221</v>
      </c>
      <c r="AA314" t="n">
        <v>223</v>
      </c>
      <c r="AB314" t="n">
        <v>2</v>
      </c>
      <c r="AC314" t="n">
        <v>2</v>
      </c>
      <c r="AD314" t="n">
        <v>10</v>
      </c>
      <c r="AE314" t="n">
        <v>10</v>
      </c>
      <c r="AF314" t="n">
        <v>2</v>
      </c>
      <c r="AG314" t="n">
        <v>2</v>
      </c>
      <c r="AH314" t="n">
        <v>2</v>
      </c>
      <c r="AI314" t="n">
        <v>2</v>
      </c>
      <c r="AJ314" t="n">
        <v>8</v>
      </c>
      <c r="AK314" t="n">
        <v>8</v>
      </c>
      <c r="AL314" t="n">
        <v>1</v>
      </c>
      <c r="AM314" t="n">
        <v>1</v>
      </c>
      <c r="AN314" t="n">
        <v>0</v>
      </c>
      <c r="AO314" t="n">
        <v>0</v>
      </c>
      <c r="AP314" t="inlineStr">
        <is>
          <t>No</t>
        </is>
      </c>
      <c r="AQ314" t="inlineStr">
        <is>
          <t>Yes</t>
        </is>
      </c>
      <c r="AR314">
        <f>HYPERLINK("http://catalog.hathitrust.org/Record/009932175","HathiTrust Record")</f>
        <v/>
      </c>
      <c r="AS314">
        <f>HYPERLINK("https://creighton-primo.hosted.exlibrisgroup.com/primo-explore/search?tab=default_tab&amp;search_scope=EVERYTHING&amp;vid=01CRU&amp;lang=en_US&amp;offset=0&amp;query=any,contains,991005356889702656","Catalog Record")</f>
        <v/>
      </c>
      <c r="AT314">
        <f>HYPERLINK("http://www.worldcat.org/oclc/802031","WorldCat Record")</f>
        <v/>
      </c>
      <c r="AU314" t="inlineStr">
        <is>
          <t>4924721893:ger</t>
        </is>
      </c>
      <c r="AV314" t="inlineStr">
        <is>
          <t>802031</t>
        </is>
      </c>
      <c r="AW314" t="inlineStr">
        <is>
          <t>991005356889702656</t>
        </is>
      </c>
      <c r="AX314" t="inlineStr">
        <is>
          <t>991005356889702656</t>
        </is>
      </c>
      <c r="AY314" t="inlineStr">
        <is>
          <t>2270552310002656</t>
        </is>
      </c>
      <c r="AZ314" t="inlineStr">
        <is>
          <t>BOOK</t>
        </is>
      </c>
      <c r="BC314" t="inlineStr">
        <is>
          <t>32285002791480</t>
        </is>
      </c>
      <c r="BD314" t="inlineStr">
        <is>
          <t>893514515</t>
        </is>
      </c>
    </row>
    <row r="315">
      <c r="A315" t="inlineStr">
        <is>
          <t>No</t>
        </is>
      </c>
      <c r="B315" t="inlineStr">
        <is>
          <t>QD151 .G52 NO. 59 PT. A1</t>
        </is>
      </c>
      <c r="C315" t="inlineStr">
        <is>
          <t>0                      QD 0151000G  52                                                      NO. 59 PT. A1</t>
        </is>
      </c>
      <c r="D315" t="inlineStr">
        <is>
          <t>Gmelins Handbuch der anorganischen chemie.</t>
        </is>
      </c>
      <c r="E315" t="inlineStr">
        <is>
          <t>NO. 59 PT. A1*</t>
        </is>
      </c>
      <c r="F315" t="inlineStr">
        <is>
          <t>Yes</t>
        </is>
      </c>
      <c r="G315" t="inlineStr">
        <is>
          <t>1</t>
        </is>
      </c>
      <c r="H315" t="inlineStr">
        <is>
          <t>No</t>
        </is>
      </c>
      <c r="I315" t="inlineStr">
        <is>
          <t>No</t>
        </is>
      </c>
      <c r="J315" t="inlineStr">
        <is>
          <t>0</t>
        </is>
      </c>
      <c r="L315" t="inlineStr">
        <is>
          <t>Leipzig-Berlin, Verlag Chemie g.m.b.h., 1924-</t>
        </is>
      </c>
      <c r="M315" t="inlineStr">
        <is>
          <t>1924</t>
        </is>
      </c>
      <c r="N315" t="inlineStr">
        <is>
          <t>8. aufl. Hrsg. von der Deutschen chemischen gesellschaft, bearb. von R.J. Meyer, unter beratender mitwirkung von Franz Peters.</t>
        </is>
      </c>
      <c r="O315" t="inlineStr">
        <is>
          <t>ger</t>
        </is>
      </c>
      <c r="P315" t="inlineStr">
        <is>
          <t xml:space="preserve">xx </t>
        </is>
      </c>
      <c r="R315" t="inlineStr">
        <is>
          <t xml:space="preserve">QD </t>
        </is>
      </c>
      <c r="S315" t="n">
        <v>1</v>
      </c>
      <c r="T315" t="n">
        <v>324</v>
      </c>
      <c r="U315" t="inlineStr">
        <is>
          <t>1998-07-27</t>
        </is>
      </c>
      <c r="V315" t="inlineStr">
        <is>
          <t>1998-07-28</t>
        </is>
      </c>
      <c r="W315" t="inlineStr">
        <is>
          <t>1997-06-09</t>
        </is>
      </c>
      <c r="X315" t="inlineStr">
        <is>
          <t>1998-06-24</t>
        </is>
      </c>
      <c r="Y315" t="n">
        <v>259</v>
      </c>
      <c r="Z315" t="n">
        <v>221</v>
      </c>
      <c r="AA315" t="n">
        <v>223</v>
      </c>
      <c r="AB315" t="n">
        <v>2</v>
      </c>
      <c r="AC315" t="n">
        <v>2</v>
      </c>
      <c r="AD315" t="n">
        <v>10</v>
      </c>
      <c r="AE315" t="n">
        <v>10</v>
      </c>
      <c r="AF315" t="n">
        <v>2</v>
      </c>
      <c r="AG315" t="n">
        <v>2</v>
      </c>
      <c r="AH315" t="n">
        <v>2</v>
      </c>
      <c r="AI315" t="n">
        <v>2</v>
      </c>
      <c r="AJ315" t="n">
        <v>8</v>
      </c>
      <c r="AK315" t="n">
        <v>8</v>
      </c>
      <c r="AL315" t="n">
        <v>1</v>
      </c>
      <c r="AM315" t="n">
        <v>1</v>
      </c>
      <c r="AN315" t="n">
        <v>0</v>
      </c>
      <c r="AO315" t="n">
        <v>0</v>
      </c>
      <c r="AP315" t="inlineStr">
        <is>
          <t>No</t>
        </is>
      </c>
      <c r="AQ315" t="inlineStr">
        <is>
          <t>Yes</t>
        </is>
      </c>
      <c r="AR315">
        <f>HYPERLINK("http://catalog.hathitrust.org/Record/009932175","HathiTrust Record")</f>
        <v/>
      </c>
      <c r="AS315">
        <f>HYPERLINK("https://creighton-primo.hosted.exlibrisgroup.com/primo-explore/search?tab=default_tab&amp;search_scope=EVERYTHING&amp;vid=01CRU&amp;lang=en_US&amp;offset=0&amp;query=any,contains,991005356889702656","Catalog Record")</f>
        <v/>
      </c>
      <c r="AT315">
        <f>HYPERLINK("http://www.worldcat.org/oclc/802031","WorldCat Record")</f>
        <v/>
      </c>
      <c r="AU315" t="inlineStr">
        <is>
          <t>4924721893:ger</t>
        </is>
      </c>
      <c r="AV315" t="inlineStr">
        <is>
          <t>802031</t>
        </is>
      </c>
      <c r="AW315" t="inlineStr">
        <is>
          <t>991005356889702656</t>
        </is>
      </c>
      <c r="AX315" t="inlineStr">
        <is>
          <t>991005356889702656</t>
        </is>
      </c>
      <c r="AY315" t="inlineStr">
        <is>
          <t>2270552310002656</t>
        </is>
      </c>
      <c r="AZ315" t="inlineStr">
        <is>
          <t>BOOK</t>
        </is>
      </c>
      <c r="BC315" t="inlineStr">
        <is>
          <t>32285002791522</t>
        </is>
      </c>
      <c r="BD315" t="inlineStr">
        <is>
          <t>893514544</t>
        </is>
      </c>
    </row>
    <row r="316">
      <c r="A316" t="inlineStr">
        <is>
          <t>No</t>
        </is>
      </c>
      <c r="B316" t="inlineStr">
        <is>
          <t>QD151 .G52 NO. 59 PT. A2</t>
        </is>
      </c>
      <c r="C316" t="inlineStr">
        <is>
          <t>0                      QD 0151000G  52                                                      NO. 59 PT. A2</t>
        </is>
      </c>
      <c r="D316" t="inlineStr">
        <is>
          <t>Gmelins Handbuch der anorganischen chemie.</t>
        </is>
      </c>
      <c r="E316" t="inlineStr">
        <is>
          <t>NO. 59 PT. A2*</t>
        </is>
      </c>
      <c r="F316" t="inlineStr">
        <is>
          <t>Yes</t>
        </is>
      </c>
      <c r="G316" t="inlineStr">
        <is>
          <t>1</t>
        </is>
      </c>
      <c r="H316" t="inlineStr">
        <is>
          <t>No</t>
        </is>
      </c>
      <c r="I316" t="inlineStr">
        <is>
          <t>No</t>
        </is>
      </c>
      <c r="J316" t="inlineStr">
        <is>
          <t>0</t>
        </is>
      </c>
      <c r="L316" t="inlineStr">
        <is>
          <t>Leipzig-Berlin, Verlag Chemie g.m.b.h., 1924-</t>
        </is>
      </c>
      <c r="M316" t="inlineStr">
        <is>
          <t>1924</t>
        </is>
      </c>
      <c r="N316" t="inlineStr">
        <is>
          <t>8. aufl. Hrsg. von der Deutschen chemischen gesellschaft, bearb. von R.J. Meyer, unter beratender mitwirkung von Franz Peters.</t>
        </is>
      </c>
      <c r="O316" t="inlineStr">
        <is>
          <t>ger</t>
        </is>
      </c>
      <c r="P316" t="inlineStr">
        <is>
          <t xml:space="preserve">xx </t>
        </is>
      </c>
      <c r="R316" t="inlineStr">
        <is>
          <t xml:space="preserve">QD </t>
        </is>
      </c>
      <c r="S316" t="n">
        <v>1</v>
      </c>
      <c r="T316" t="n">
        <v>324</v>
      </c>
      <c r="U316" t="inlineStr">
        <is>
          <t>1998-07-27</t>
        </is>
      </c>
      <c r="V316" t="inlineStr">
        <is>
          <t>1998-07-28</t>
        </is>
      </c>
      <c r="W316" t="inlineStr">
        <is>
          <t>1997-06-09</t>
        </is>
      </c>
      <c r="X316" t="inlineStr">
        <is>
          <t>1998-06-24</t>
        </is>
      </c>
      <c r="Y316" t="n">
        <v>259</v>
      </c>
      <c r="Z316" t="n">
        <v>221</v>
      </c>
      <c r="AA316" t="n">
        <v>223</v>
      </c>
      <c r="AB316" t="n">
        <v>2</v>
      </c>
      <c r="AC316" t="n">
        <v>2</v>
      </c>
      <c r="AD316" t="n">
        <v>10</v>
      </c>
      <c r="AE316" t="n">
        <v>10</v>
      </c>
      <c r="AF316" t="n">
        <v>2</v>
      </c>
      <c r="AG316" t="n">
        <v>2</v>
      </c>
      <c r="AH316" t="n">
        <v>2</v>
      </c>
      <c r="AI316" t="n">
        <v>2</v>
      </c>
      <c r="AJ316" t="n">
        <v>8</v>
      </c>
      <c r="AK316" t="n">
        <v>8</v>
      </c>
      <c r="AL316" t="n">
        <v>1</v>
      </c>
      <c r="AM316" t="n">
        <v>1</v>
      </c>
      <c r="AN316" t="n">
        <v>0</v>
      </c>
      <c r="AO316" t="n">
        <v>0</v>
      </c>
      <c r="AP316" t="inlineStr">
        <is>
          <t>No</t>
        </is>
      </c>
      <c r="AQ316" t="inlineStr">
        <is>
          <t>Yes</t>
        </is>
      </c>
      <c r="AR316">
        <f>HYPERLINK("http://catalog.hathitrust.org/Record/009932175","HathiTrust Record")</f>
        <v/>
      </c>
      <c r="AS316">
        <f>HYPERLINK("https://creighton-primo.hosted.exlibrisgroup.com/primo-explore/search?tab=default_tab&amp;search_scope=EVERYTHING&amp;vid=01CRU&amp;lang=en_US&amp;offset=0&amp;query=any,contains,991005356889702656","Catalog Record")</f>
        <v/>
      </c>
      <c r="AT316">
        <f>HYPERLINK("http://www.worldcat.org/oclc/802031","WorldCat Record")</f>
        <v/>
      </c>
      <c r="AU316" t="inlineStr">
        <is>
          <t>4924721893:ger</t>
        </is>
      </c>
      <c r="AV316" t="inlineStr">
        <is>
          <t>802031</t>
        </is>
      </c>
      <c r="AW316" t="inlineStr">
        <is>
          <t>991005356889702656</t>
        </is>
      </c>
      <c r="AX316" t="inlineStr">
        <is>
          <t>991005356889702656</t>
        </is>
      </c>
      <c r="AY316" t="inlineStr">
        <is>
          <t>2270552310002656</t>
        </is>
      </c>
      <c r="AZ316" t="inlineStr">
        <is>
          <t>BOOK</t>
        </is>
      </c>
      <c r="BC316" t="inlineStr">
        <is>
          <t>32285002791530</t>
        </is>
      </c>
      <c r="BD316" t="inlineStr">
        <is>
          <t>893520943</t>
        </is>
      </c>
    </row>
    <row r="317">
      <c r="A317" t="inlineStr">
        <is>
          <t>No</t>
        </is>
      </c>
      <c r="B317" t="inlineStr">
        <is>
          <t>QD151 .G52 NO. 59 PT. A3</t>
        </is>
      </c>
      <c r="C317" t="inlineStr">
        <is>
          <t>0                      QD 0151000G  52                                                      NO. 59 PT. A3</t>
        </is>
      </c>
      <c r="D317" t="inlineStr">
        <is>
          <t>Gmelins Handbuch der anorganischen chemie.</t>
        </is>
      </c>
      <c r="E317" t="inlineStr">
        <is>
          <t>NO. 59 PT. A3*</t>
        </is>
      </c>
      <c r="F317" t="inlineStr">
        <is>
          <t>Yes</t>
        </is>
      </c>
      <c r="G317" t="inlineStr">
        <is>
          <t>1</t>
        </is>
      </c>
      <c r="H317" t="inlineStr">
        <is>
          <t>No</t>
        </is>
      </c>
      <c r="I317" t="inlineStr">
        <is>
          <t>No</t>
        </is>
      </c>
      <c r="J317" t="inlineStr">
        <is>
          <t>0</t>
        </is>
      </c>
      <c r="L317" t="inlineStr">
        <is>
          <t>Leipzig-Berlin, Verlag Chemie g.m.b.h., 1924-</t>
        </is>
      </c>
      <c r="M317" t="inlineStr">
        <is>
          <t>1924</t>
        </is>
      </c>
      <c r="N317" t="inlineStr">
        <is>
          <t>8. aufl. Hrsg. von der Deutschen chemischen gesellschaft, bearb. von R.J. Meyer, unter beratender mitwirkung von Franz Peters.</t>
        </is>
      </c>
      <c r="O317" t="inlineStr">
        <is>
          <t>ger</t>
        </is>
      </c>
      <c r="P317" t="inlineStr">
        <is>
          <t xml:space="preserve">xx </t>
        </is>
      </c>
      <c r="R317" t="inlineStr">
        <is>
          <t xml:space="preserve">QD </t>
        </is>
      </c>
      <c r="S317" t="n">
        <v>1</v>
      </c>
      <c r="T317" t="n">
        <v>324</v>
      </c>
      <c r="U317" t="inlineStr">
        <is>
          <t>1998-07-27</t>
        </is>
      </c>
      <c r="V317" t="inlineStr">
        <is>
          <t>1998-07-28</t>
        </is>
      </c>
      <c r="W317" t="inlineStr">
        <is>
          <t>1997-06-09</t>
        </is>
      </c>
      <c r="X317" t="inlineStr">
        <is>
          <t>1998-06-24</t>
        </is>
      </c>
      <c r="Y317" t="n">
        <v>259</v>
      </c>
      <c r="Z317" t="n">
        <v>221</v>
      </c>
      <c r="AA317" t="n">
        <v>223</v>
      </c>
      <c r="AB317" t="n">
        <v>2</v>
      </c>
      <c r="AC317" t="n">
        <v>2</v>
      </c>
      <c r="AD317" t="n">
        <v>10</v>
      </c>
      <c r="AE317" t="n">
        <v>10</v>
      </c>
      <c r="AF317" t="n">
        <v>2</v>
      </c>
      <c r="AG317" t="n">
        <v>2</v>
      </c>
      <c r="AH317" t="n">
        <v>2</v>
      </c>
      <c r="AI317" t="n">
        <v>2</v>
      </c>
      <c r="AJ317" t="n">
        <v>8</v>
      </c>
      <c r="AK317" t="n">
        <v>8</v>
      </c>
      <c r="AL317" t="n">
        <v>1</v>
      </c>
      <c r="AM317" t="n">
        <v>1</v>
      </c>
      <c r="AN317" t="n">
        <v>0</v>
      </c>
      <c r="AO317" t="n">
        <v>0</v>
      </c>
      <c r="AP317" t="inlineStr">
        <is>
          <t>No</t>
        </is>
      </c>
      <c r="AQ317" t="inlineStr">
        <is>
          <t>Yes</t>
        </is>
      </c>
      <c r="AR317">
        <f>HYPERLINK("http://catalog.hathitrust.org/Record/009932175","HathiTrust Record")</f>
        <v/>
      </c>
      <c r="AS317">
        <f>HYPERLINK("https://creighton-primo.hosted.exlibrisgroup.com/primo-explore/search?tab=default_tab&amp;search_scope=EVERYTHING&amp;vid=01CRU&amp;lang=en_US&amp;offset=0&amp;query=any,contains,991005356889702656","Catalog Record")</f>
        <v/>
      </c>
      <c r="AT317">
        <f>HYPERLINK("http://www.worldcat.org/oclc/802031","WorldCat Record")</f>
        <v/>
      </c>
      <c r="AU317" t="inlineStr">
        <is>
          <t>4924721893:ger</t>
        </is>
      </c>
      <c r="AV317" t="inlineStr">
        <is>
          <t>802031</t>
        </is>
      </c>
      <c r="AW317" t="inlineStr">
        <is>
          <t>991005356889702656</t>
        </is>
      </c>
      <c r="AX317" t="inlineStr">
        <is>
          <t>991005356889702656</t>
        </is>
      </c>
      <c r="AY317" t="inlineStr">
        <is>
          <t>2270552310002656</t>
        </is>
      </c>
      <c r="AZ317" t="inlineStr">
        <is>
          <t>BOOK</t>
        </is>
      </c>
      <c r="BC317" t="inlineStr">
        <is>
          <t>32285002791548</t>
        </is>
      </c>
      <c r="BD317" t="inlineStr">
        <is>
          <t>893508076</t>
        </is>
      </c>
    </row>
    <row r="318">
      <c r="A318" t="inlineStr">
        <is>
          <t>No</t>
        </is>
      </c>
      <c r="B318" t="inlineStr">
        <is>
          <t>QD151 .G52 NO. 59 PT. A4</t>
        </is>
      </c>
      <c r="C318" t="inlineStr">
        <is>
          <t>0                      QD 0151000G  52                                                      NO. 59 PT. A4</t>
        </is>
      </c>
      <c r="D318" t="inlineStr">
        <is>
          <t>Gmelins Handbuch der anorganischen chemie.</t>
        </is>
      </c>
      <c r="E318" t="inlineStr">
        <is>
          <t>NO. 59 PT. A4*</t>
        </is>
      </c>
      <c r="F318" t="inlineStr">
        <is>
          <t>Yes</t>
        </is>
      </c>
      <c r="G318" t="inlineStr">
        <is>
          <t>1</t>
        </is>
      </c>
      <c r="H318" t="inlineStr">
        <is>
          <t>No</t>
        </is>
      </c>
      <c r="I318" t="inlineStr">
        <is>
          <t>No</t>
        </is>
      </c>
      <c r="J318" t="inlineStr">
        <is>
          <t>0</t>
        </is>
      </c>
      <c r="L318" t="inlineStr">
        <is>
          <t>Leipzig-Berlin, Verlag Chemie g.m.b.h., 1924-</t>
        </is>
      </c>
      <c r="M318" t="inlineStr">
        <is>
          <t>1924</t>
        </is>
      </c>
      <c r="N318" t="inlineStr">
        <is>
          <t>8. aufl. Hrsg. von der Deutschen chemischen gesellschaft, bearb. von R.J. Meyer, unter beratender mitwirkung von Franz Peters.</t>
        </is>
      </c>
      <c r="O318" t="inlineStr">
        <is>
          <t>ger</t>
        </is>
      </c>
      <c r="P318" t="inlineStr">
        <is>
          <t xml:space="preserve">xx </t>
        </is>
      </c>
      <c r="R318" t="inlineStr">
        <is>
          <t xml:space="preserve">QD </t>
        </is>
      </c>
      <c r="S318" t="n">
        <v>1</v>
      </c>
      <c r="T318" t="n">
        <v>324</v>
      </c>
      <c r="U318" t="inlineStr">
        <is>
          <t>1998-07-27</t>
        </is>
      </c>
      <c r="V318" t="inlineStr">
        <is>
          <t>1998-07-28</t>
        </is>
      </c>
      <c r="W318" t="inlineStr">
        <is>
          <t>1997-06-09</t>
        </is>
      </c>
      <c r="X318" t="inlineStr">
        <is>
          <t>1998-06-24</t>
        </is>
      </c>
      <c r="Y318" t="n">
        <v>259</v>
      </c>
      <c r="Z318" t="n">
        <v>221</v>
      </c>
      <c r="AA318" t="n">
        <v>223</v>
      </c>
      <c r="AB318" t="n">
        <v>2</v>
      </c>
      <c r="AC318" t="n">
        <v>2</v>
      </c>
      <c r="AD318" t="n">
        <v>10</v>
      </c>
      <c r="AE318" t="n">
        <v>10</v>
      </c>
      <c r="AF318" t="n">
        <v>2</v>
      </c>
      <c r="AG318" t="n">
        <v>2</v>
      </c>
      <c r="AH318" t="n">
        <v>2</v>
      </c>
      <c r="AI318" t="n">
        <v>2</v>
      </c>
      <c r="AJ318" t="n">
        <v>8</v>
      </c>
      <c r="AK318" t="n">
        <v>8</v>
      </c>
      <c r="AL318" t="n">
        <v>1</v>
      </c>
      <c r="AM318" t="n">
        <v>1</v>
      </c>
      <c r="AN318" t="n">
        <v>0</v>
      </c>
      <c r="AO318" t="n">
        <v>0</v>
      </c>
      <c r="AP318" t="inlineStr">
        <is>
          <t>No</t>
        </is>
      </c>
      <c r="AQ318" t="inlineStr">
        <is>
          <t>Yes</t>
        </is>
      </c>
      <c r="AR318">
        <f>HYPERLINK("http://catalog.hathitrust.org/Record/009932175","HathiTrust Record")</f>
        <v/>
      </c>
      <c r="AS318">
        <f>HYPERLINK("https://creighton-primo.hosted.exlibrisgroup.com/primo-explore/search?tab=default_tab&amp;search_scope=EVERYTHING&amp;vid=01CRU&amp;lang=en_US&amp;offset=0&amp;query=any,contains,991005356889702656","Catalog Record")</f>
        <v/>
      </c>
      <c r="AT318">
        <f>HYPERLINK("http://www.worldcat.org/oclc/802031","WorldCat Record")</f>
        <v/>
      </c>
      <c r="AU318" t="inlineStr">
        <is>
          <t>4924721893:ger</t>
        </is>
      </c>
      <c r="AV318" t="inlineStr">
        <is>
          <t>802031</t>
        </is>
      </c>
      <c r="AW318" t="inlineStr">
        <is>
          <t>991005356889702656</t>
        </is>
      </c>
      <c r="AX318" t="inlineStr">
        <is>
          <t>991005356889702656</t>
        </is>
      </c>
      <c r="AY318" t="inlineStr">
        <is>
          <t>2270552310002656</t>
        </is>
      </c>
      <c r="AZ318" t="inlineStr">
        <is>
          <t>BOOK</t>
        </is>
      </c>
      <c r="BC318" t="inlineStr">
        <is>
          <t>32285002791555</t>
        </is>
      </c>
      <c r="BD318" t="inlineStr">
        <is>
          <t>893514514</t>
        </is>
      </c>
    </row>
    <row r="319">
      <c r="A319" t="inlineStr">
        <is>
          <t>No</t>
        </is>
      </c>
      <c r="B319" t="inlineStr">
        <is>
          <t>QD151 .G52 NO. 59 PT. A5</t>
        </is>
      </c>
      <c r="C319" t="inlineStr">
        <is>
          <t>0                      QD 0151000G  52                                                      NO. 59 PT. A5</t>
        </is>
      </c>
      <c r="D319" t="inlineStr">
        <is>
          <t>Gmelins Handbuch der anorganischen chemie.</t>
        </is>
      </c>
      <c r="E319" t="inlineStr">
        <is>
          <t>NO. 59 PT. A5*</t>
        </is>
      </c>
      <c r="F319" t="inlineStr">
        <is>
          <t>Yes</t>
        </is>
      </c>
      <c r="G319" t="inlineStr">
        <is>
          <t>1</t>
        </is>
      </c>
      <c r="H319" t="inlineStr">
        <is>
          <t>No</t>
        </is>
      </c>
      <c r="I319" t="inlineStr">
        <is>
          <t>No</t>
        </is>
      </c>
      <c r="J319" t="inlineStr">
        <is>
          <t>0</t>
        </is>
      </c>
      <c r="L319" t="inlineStr">
        <is>
          <t>Leipzig-Berlin, Verlag Chemie g.m.b.h., 1924-</t>
        </is>
      </c>
      <c r="M319" t="inlineStr">
        <is>
          <t>1924</t>
        </is>
      </c>
      <c r="N319" t="inlineStr">
        <is>
          <t>8. aufl. Hrsg. von der Deutschen chemischen gesellschaft, bearb. von R.J. Meyer, unter beratender mitwirkung von Franz Peters.</t>
        </is>
      </c>
      <c r="O319" t="inlineStr">
        <is>
          <t>ger</t>
        </is>
      </c>
      <c r="P319" t="inlineStr">
        <is>
          <t xml:space="preserve">xx </t>
        </is>
      </c>
      <c r="R319" t="inlineStr">
        <is>
          <t xml:space="preserve">QD </t>
        </is>
      </c>
      <c r="S319" t="n">
        <v>1</v>
      </c>
      <c r="T319" t="n">
        <v>324</v>
      </c>
      <c r="U319" t="inlineStr">
        <is>
          <t>1998-07-27</t>
        </is>
      </c>
      <c r="V319" t="inlineStr">
        <is>
          <t>1998-07-28</t>
        </is>
      </c>
      <c r="W319" t="inlineStr">
        <is>
          <t>1997-06-09</t>
        </is>
      </c>
      <c r="X319" t="inlineStr">
        <is>
          <t>1998-06-24</t>
        </is>
      </c>
      <c r="Y319" t="n">
        <v>259</v>
      </c>
      <c r="Z319" t="n">
        <v>221</v>
      </c>
      <c r="AA319" t="n">
        <v>223</v>
      </c>
      <c r="AB319" t="n">
        <v>2</v>
      </c>
      <c r="AC319" t="n">
        <v>2</v>
      </c>
      <c r="AD319" t="n">
        <v>10</v>
      </c>
      <c r="AE319" t="n">
        <v>10</v>
      </c>
      <c r="AF319" t="n">
        <v>2</v>
      </c>
      <c r="AG319" t="n">
        <v>2</v>
      </c>
      <c r="AH319" t="n">
        <v>2</v>
      </c>
      <c r="AI319" t="n">
        <v>2</v>
      </c>
      <c r="AJ319" t="n">
        <v>8</v>
      </c>
      <c r="AK319" t="n">
        <v>8</v>
      </c>
      <c r="AL319" t="n">
        <v>1</v>
      </c>
      <c r="AM319" t="n">
        <v>1</v>
      </c>
      <c r="AN319" t="n">
        <v>0</v>
      </c>
      <c r="AO319" t="n">
        <v>0</v>
      </c>
      <c r="AP319" t="inlineStr">
        <is>
          <t>No</t>
        </is>
      </c>
      <c r="AQ319" t="inlineStr">
        <is>
          <t>Yes</t>
        </is>
      </c>
      <c r="AR319">
        <f>HYPERLINK("http://catalog.hathitrust.org/Record/009932175","HathiTrust Record")</f>
        <v/>
      </c>
      <c r="AS319">
        <f>HYPERLINK("https://creighton-primo.hosted.exlibrisgroup.com/primo-explore/search?tab=default_tab&amp;search_scope=EVERYTHING&amp;vid=01CRU&amp;lang=en_US&amp;offset=0&amp;query=any,contains,991005356889702656","Catalog Record")</f>
        <v/>
      </c>
      <c r="AT319">
        <f>HYPERLINK("http://www.worldcat.org/oclc/802031","WorldCat Record")</f>
        <v/>
      </c>
      <c r="AU319" t="inlineStr">
        <is>
          <t>4924721893:ger</t>
        </is>
      </c>
      <c r="AV319" t="inlineStr">
        <is>
          <t>802031</t>
        </is>
      </c>
      <c r="AW319" t="inlineStr">
        <is>
          <t>991005356889702656</t>
        </is>
      </c>
      <c r="AX319" t="inlineStr">
        <is>
          <t>991005356889702656</t>
        </is>
      </c>
      <c r="AY319" t="inlineStr">
        <is>
          <t>2270552310002656</t>
        </is>
      </c>
      <c r="AZ319" t="inlineStr">
        <is>
          <t>BOOK</t>
        </is>
      </c>
      <c r="BC319" t="inlineStr">
        <is>
          <t>32285002791563</t>
        </is>
      </c>
      <c r="BD319" t="inlineStr">
        <is>
          <t>893514513</t>
        </is>
      </c>
    </row>
    <row r="320">
      <c r="A320" t="inlineStr">
        <is>
          <t>No</t>
        </is>
      </c>
      <c r="B320" t="inlineStr">
        <is>
          <t>QD151 .G52 NO. 59 PT. A6</t>
        </is>
      </c>
      <c r="C320" t="inlineStr">
        <is>
          <t>0                      QD 0151000G  52                                                      NO. 59 PT. A6</t>
        </is>
      </c>
      <c r="D320" t="inlineStr">
        <is>
          <t>Gmelins Handbuch der anorganischen chemie.</t>
        </is>
      </c>
      <c r="E320" t="inlineStr">
        <is>
          <t>NO. 59 PT. A6*</t>
        </is>
      </c>
      <c r="F320" t="inlineStr">
        <is>
          <t>Yes</t>
        </is>
      </c>
      <c r="G320" t="inlineStr">
        <is>
          <t>1</t>
        </is>
      </c>
      <c r="H320" t="inlineStr">
        <is>
          <t>No</t>
        </is>
      </c>
      <c r="I320" t="inlineStr">
        <is>
          <t>No</t>
        </is>
      </c>
      <c r="J320" t="inlineStr">
        <is>
          <t>0</t>
        </is>
      </c>
      <c r="L320" t="inlineStr">
        <is>
          <t>Leipzig-Berlin, Verlag Chemie g.m.b.h., 1924-</t>
        </is>
      </c>
      <c r="M320" t="inlineStr">
        <is>
          <t>1924</t>
        </is>
      </c>
      <c r="N320" t="inlineStr">
        <is>
          <t>8. aufl. Hrsg. von der Deutschen chemischen gesellschaft, bearb. von R.J. Meyer, unter beratender mitwirkung von Franz Peters.</t>
        </is>
      </c>
      <c r="O320" t="inlineStr">
        <is>
          <t>ger</t>
        </is>
      </c>
      <c r="P320" t="inlineStr">
        <is>
          <t xml:space="preserve">xx </t>
        </is>
      </c>
      <c r="R320" t="inlineStr">
        <is>
          <t xml:space="preserve">QD </t>
        </is>
      </c>
      <c r="S320" t="n">
        <v>1</v>
      </c>
      <c r="T320" t="n">
        <v>324</v>
      </c>
      <c r="U320" t="inlineStr">
        <is>
          <t>1998-07-27</t>
        </is>
      </c>
      <c r="V320" t="inlineStr">
        <is>
          <t>1998-07-28</t>
        </is>
      </c>
      <c r="W320" t="inlineStr">
        <is>
          <t>1997-06-09</t>
        </is>
      </c>
      <c r="X320" t="inlineStr">
        <is>
          <t>1998-06-24</t>
        </is>
      </c>
      <c r="Y320" t="n">
        <v>259</v>
      </c>
      <c r="Z320" t="n">
        <v>221</v>
      </c>
      <c r="AA320" t="n">
        <v>223</v>
      </c>
      <c r="AB320" t="n">
        <v>2</v>
      </c>
      <c r="AC320" t="n">
        <v>2</v>
      </c>
      <c r="AD320" t="n">
        <v>10</v>
      </c>
      <c r="AE320" t="n">
        <v>10</v>
      </c>
      <c r="AF320" t="n">
        <v>2</v>
      </c>
      <c r="AG320" t="n">
        <v>2</v>
      </c>
      <c r="AH320" t="n">
        <v>2</v>
      </c>
      <c r="AI320" t="n">
        <v>2</v>
      </c>
      <c r="AJ320" t="n">
        <v>8</v>
      </c>
      <c r="AK320" t="n">
        <v>8</v>
      </c>
      <c r="AL320" t="n">
        <v>1</v>
      </c>
      <c r="AM320" t="n">
        <v>1</v>
      </c>
      <c r="AN320" t="n">
        <v>0</v>
      </c>
      <c r="AO320" t="n">
        <v>0</v>
      </c>
      <c r="AP320" t="inlineStr">
        <is>
          <t>No</t>
        </is>
      </c>
      <c r="AQ320" t="inlineStr">
        <is>
          <t>Yes</t>
        </is>
      </c>
      <c r="AR320">
        <f>HYPERLINK("http://catalog.hathitrust.org/Record/009932175","HathiTrust Record")</f>
        <v/>
      </c>
      <c r="AS320">
        <f>HYPERLINK("https://creighton-primo.hosted.exlibrisgroup.com/primo-explore/search?tab=default_tab&amp;search_scope=EVERYTHING&amp;vid=01CRU&amp;lang=en_US&amp;offset=0&amp;query=any,contains,991005356889702656","Catalog Record")</f>
        <v/>
      </c>
      <c r="AT320">
        <f>HYPERLINK("http://www.worldcat.org/oclc/802031","WorldCat Record")</f>
        <v/>
      </c>
      <c r="AU320" t="inlineStr">
        <is>
          <t>4924721893:ger</t>
        </is>
      </c>
      <c r="AV320" t="inlineStr">
        <is>
          <t>802031</t>
        </is>
      </c>
      <c r="AW320" t="inlineStr">
        <is>
          <t>991005356889702656</t>
        </is>
      </c>
      <c r="AX320" t="inlineStr">
        <is>
          <t>991005356889702656</t>
        </is>
      </c>
      <c r="AY320" t="inlineStr">
        <is>
          <t>2270552310002656</t>
        </is>
      </c>
      <c r="AZ320" t="inlineStr">
        <is>
          <t>BOOK</t>
        </is>
      </c>
      <c r="BC320" t="inlineStr">
        <is>
          <t>32285002791571</t>
        </is>
      </c>
      <c r="BD320" t="inlineStr">
        <is>
          <t>893527442</t>
        </is>
      </c>
    </row>
    <row r="321">
      <c r="A321" t="inlineStr">
        <is>
          <t>No</t>
        </is>
      </c>
      <c r="B321" t="inlineStr">
        <is>
          <t>QD151 .G52 NO. 59 PT. A7</t>
        </is>
      </c>
      <c r="C321" t="inlineStr">
        <is>
          <t>0                      QD 0151000G  52                                                      NO. 59 PT. A7</t>
        </is>
      </c>
      <c r="D321" t="inlineStr">
        <is>
          <t>Gmelins Handbuch der anorganischen chemie.</t>
        </is>
      </c>
      <c r="E321" t="inlineStr">
        <is>
          <t>NO. 59 PT. A7*</t>
        </is>
      </c>
      <c r="F321" t="inlineStr">
        <is>
          <t>Yes</t>
        </is>
      </c>
      <c r="G321" t="inlineStr">
        <is>
          <t>1</t>
        </is>
      </c>
      <c r="H321" t="inlineStr">
        <is>
          <t>No</t>
        </is>
      </c>
      <c r="I321" t="inlineStr">
        <is>
          <t>No</t>
        </is>
      </c>
      <c r="J321" t="inlineStr">
        <is>
          <t>0</t>
        </is>
      </c>
      <c r="L321" t="inlineStr">
        <is>
          <t>Leipzig-Berlin, Verlag Chemie g.m.b.h., 1924-</t>
        </is>
      </c>
      <c r="M321" t="inlineStr">
        <is>
          <t>1924</t>
        </is>
      </c>
      <c r="N321" t="inlineStr">
        <is>
          <t>8. aufl. Hrsg. von der Deutschen chemischen gesellschaft, bearb. von R.J. Meyer, unter beratender mitwirkung von Franz Peters.</t>
        </is>
      </c>
      <c r="O321" t="inlineStr">
        <is>
          <t>ger</t>
        </is>
      </c>
      <c r="P321" t="inlineStr">
        <is>
          <t xml:space="preserve">xx </t>
        </is>
      </c>
      <c r="R321" t="inlineStr">
        <is>
          <t xml:space="preserve">QD </t>
        </is>
      </c>
      <c r="S321" t="n">
        <v>1</v>
      </c>
      <c r="T321" t="n">
        <v>324</v>
      </c>
      <c r="U321" t="inlineStr">
        <is>
          <t>1998-07-27</t>
        </is>
      </c>
      <c r="V321" t="inlineStr">
        <is>
          <t>1998-07-28</t>
        </is>
      </c>
      <c r="W321" t="inlineStr">
        <is>
          <t>1997-06-09</t>
        </is>
      </c>
      <c r="X321" t="inlineStr">
        <is>
          <t>1998-06-24</t>
        </is>
      </c>
      <c r="Y321" t="n">
        <v>259</v>
      </c>
      <c r="Z321" t="n">
        <v>221</v>
      </c>
      <c r="AA321" t="n">
        <v>223</v>
      </c>
      <c r="AB321" t="n">
        <v>2</v>
      </c>
      <c r="AC321" t="n">
        <v>2</v>
      </c>
      <c r="AD321" t="n">
        <v>10</v>
      </c>
      <c r="AE321" t="n">
        <v>10</v>
      </c>
      <c r="AF321" t="n">
        <v>2</v>
      </c>
      <c r="AG321" t="n">
        <v>2</v>
      </c>
      <c r="AH321" t="n">
        <v>2</v>
      </c>
      <c r="AI321" t="n">
        <v>2</v>
      </c>
      <c r="AJ321" t="n">
        <v>8</v>
      </c>
      <c r="AK321" t="n">
        <v>8</v>
      </c>
      <c r="AL321" t="n">
        <v>1</v>
      </c>
      <c r="AM321" t="n">
        <v>1</v>
      </c>
      <c r="AN321" t="n">
        <v>0</v>
      </c>
      <c r="AO321" t="n">
        <v>0</v>
      </c>
      <c r="AP321" t="inlineStr">
        <is>
          <t>No</t>
        </is>
      </c>
      <c r="AQ321" t="inlineStr">
        <is>
          <t>Yes</t>
        </is>
      </c>
      <c r="AR321">
        <f>HYPERLINK("http://catalog.hathitrust.org/Record/009932175","HathiTrust Record")</f>
        <v/>
      </c>
      <c r="AS321">
        <f>HYPERLINK("https://creighton-primo.hosted.exlibrisgroup.com/primo-explore/search?tab=default_tab&amp;search_scope=EVERYTHING&amp;vid=01CRU&amp;lang=en_US&amp;offset=0&amp;query=any,contains,991005356889702656","Catalog Record")</f>
        <v/>
      </c>
      <c r="AT321">
        <f>HYPERLINK("http://www.worldcat.org/oclc/802031","WorldCat Record")</f>
        <v/>
      </c>
      <c r="AU321" t="inlineStr">
        <is>
          <t>4924721893:ger</t>
        </is>
      </c>
      <c r="AV321" t="inlineStr">
        <is>
          <t>802031</t>
        </is>
      </c>
      <c r="AW321" t="inlineStr">
        <is>
          <t>991005356889702656</t>
        </is>
      </c>
      <c r="AX321" t="inlineStr">
        <is>
          <t>991005356889702656</t>
        </is>
      </c>
      <c r="AY321" t="inlineStr">
        <is>
          <t>2270552310002656</t>
        </is>
      </c>
      <c r="AZ321" t="inlineStr">
        <is>
          <t>BOOK</t>
        </is>
      </c>
      <c r="BC321" t="inlineStr">
        <is>
          <t>32285002791589</t>
        </is>
      </c>
      <c r="BD321" t="inlineStr">
        <is>
          <t>893520980</t>
        </is>
      </c>
    </row>
    <row r="322">
      <c r="A322" t="inlineStr">
        <is>
          <t>No</t>
        </is>
      </c>
      <c r="B322" t="inlineStr">
        <is>
          <t>QD151 .G52 NO. 59 PT. A9</t>
        </is>
      </c>
      <c r="C322" t="inlineStr">
        <is>
          <t>0                      QD 0151000G  52                                                      NO. 59 PT. A9</t>
        </is>
      </c>
      <c r="D322" t="inlineStr">
        <is>
          <t>Gmelins Handbuch der anorganischen chemie.</t>
        </is>
      </c>
      <c r="E322" t="inlineStr">
        <is>
          <t>NO. 59 PT. A9*</t>
        </is>
      </c>
      <c r="F322" t="inlineStr">
        <is>
          <t>Yes</t>
        </is>
      </c>
      <c r="G322" t="inlineStr">
        <is>
          <t>1</t>
        </is>
      </c>
      <c r="H322" t="inlineStr">
        <is>
          <t>No</t>
        </is>
      </c>
      <c r="I322" t="inlineStr">
        <is>
          <t>No</t>
        </is>
      </c>
      <c r="J322" t="inlineStr">
        <is>
          <t>0</t>
        </is>
      </c>
      <c r="L322" t="inlineStr">
        <is>
          <t>Leipzig-Berlin, Verlag Chemie g.m.b.h., 1924-</t>
        </is>
      </c>
      <c r="M322" t="inlineStr">
        <is>
          <t>1924</t>
        </is>
      </c>
      <c r="N322" t="inlineStr">
        <is>
          <t>8. aufl. Hrsg. von der Deutschen chemischen gesellschaft, bearb. von R.J. Meyer, unter beratender mitwirkung von Franz Peters.</t>
        </is>
      </c>
      <c r="O322" t="inlineStr">
        <is>
          <t>ger</t>
        </is>
      </c>
      <c r="P322" t="inlineStr">
        <is>
          <t xml:space="preserve">xx </t>
        </is>
      </c>
      <c r="R322" t="inlineStr">
        <is>
          <t xml:space="preserve">QD </t>
        </is>
      </c>
      <c r="S322" t="n">
        <v>1</v>
      </c>
      <c r="T322" t="n">
        <v>324</v>
      </c>
      <c r="U322" t="inlineStr">
        <is>
          <t>1998-07-27</t>
        </is>
      </c>
      <c r="V322" t="inlineStr">
        <is>
          <t>1998-07-28</t>
        </is>
      </c>
      <c r="W322" t="inlineStr">
        <is>
          <t>1997-06-09</t>
        </is>
      </c>
      <c r="X322" t="inlineStr">
        <is>
          <t>1998-06-24</t>
        </is>
      </c>
      <c r="Y322" t="n">
        <v>259</v>
      </c>
      <c r="Z322" t="n">
        <v>221</v>
      </c>
      <c r="AA322" t="n">
        <v>223</v>
      </c>
      <c r="AB322" t="n">
        <v>2</v>
      </c>
      <c r="AC322" t="n">
        <v>2</v>
      </c>
      <c r="AD322" t="n">
        <v>10</v>
      </c>
      <c r="AE322" t="n">
        <v>10</v>
      </c>
      <c r="AF322" t="n">
        <v>2</v>
      </c>
      <c r="AG322" t="n">
        <v>2</v>
      </c>
      <c r="AH322" t="n">
        <v>2</v>
      </c>
      <c r="AI322" t="n">
        <v>2</v>
      </c>
      <c r="AJ322" t="n">
        <v>8</v>
      </c>
      <c r="AK322" t="n">
        <v>8</v>
      </c>
      <c r="AL322" t="n">
        <v>1</v>
      </c>
      <c r="AM322" t="n">
        <v>1</v>
      </c>
      <c r="AN322" t="n">
        <v>0</v>
      </c>
      <c r="AO322" t="n">
        <v>0</v>
      </c>
      <c r="AP322" t="inlineStr">
        <is>
          <t>No</t>
        </is>
      </c>
      <c r="AQ322" t="inlineStr">
        <is>
          <t>Yes</t>
        </is>
      </c>
      <c r="AR322">
        <f>HYPERLINK("http://catalog.hathitrust.org/Record/009932175","HathiTrust Record")</f>
        <v/>
      </c>
      <c r="AS322">
        <f>HYPERLINK("https://creighton-primo.hosted.exlibrisgroup.com/primo-explore/search?tab=default_tab&amp;search_scope=EVERYTHING&amp;vid=01CRU&amp;lang=en_US&amp;offset=0&amp;query=any,contains,991005356889702656","Catalog Record")</f>
        <v/>
      </c>
      <c r="AT322">
        <f>HYPERLINK("http://www.worldcat.org/oclc/802031","WorldCat Record")</f>
        <v/>
      </c>
      <c r="AU322" t="inlineStr">
        <is>
          <t>4924721893:ger</t>
        </is>
      </c>
      <c r="AV322" t="inlineStr">
        <is>
          <t>802031</t>
        </is>
      </c>
      <c r="AW322" t="inlineStr">
        <is>
          <t>991005356889702656</t>
        </is>
      </c>
      <c r="AX322" t="inlineStr">
        <is>
          <t>991005356889702656</t>
        </is>
      </c>
      <c r="AY322" t="inlineStr">
        <is>
          <t>2270552310002656</t>
        </is>
      </c>
      <c r="AZ322" t="inlineStr">
        <is>
          <t>BOOK</t>
        </is>
      </c>
      <c r="BC322" t="inlineStr">
        <is>
          <t>32285002791597</t>
        </is>
      </c>
      <c r="BD322" t="inlineStr">
        <is>
          <t>893501795</t>
        </is>
      </c>
    </row>
    <row r="323">
      <c r="A323" t="inlineStr">
        <is>
          <t>No</t>
        </is>
      </c>
      <c r="B323" t="inlineStr">
        <is>
          <t>QD151 .G52 NO. 59 PT. B1</t>
        </is>
      </c>
      <c r="C323" t="inlineStr">
        <is>
          <t>0                      QD 0151000G  52                                                      NO. 59 PT. B1</t>
        </is>
      </c>
      <c r="D323" t="inlineStr">
        <is>
          <t>Gmelins Handbuch der anorganischen chemie.</t>
        </is>
      </c>
      <c r="E323" t="inlineStr">
        <is>
          <t>NO. 59 PT. B1*</t>
        </is>
      </c>
      <c r="F323" t="inlineStr">
        <is>
          <t>Yes</t>
        </is>
      </c>
      <c r="G323" t="inlineStr">
        <is>
          <t>1</t>
        </is>
      </c>
      <c r="H323" t="inlineStr">
        <is>
          <t>No</t>
        </is>
      </c>
      <c r="I323" t="inlineStr">
        <is>
          <t>No</t>
        </is>
      </c>
      <c r="J323" t="inlineStr">
        <is>
          <t>0</t>
        </is>
      </c>
      <c r="L323" t="inlineStr">
        <is>
          <t>Leipzig-Berlin, Verlag Chemie g.m.b.h., 1924-</t>
        </is>
      </c>
      <c r="M323" t="inlineStr">
        <is>
          <t>1924</t>
        </is>
      </c>
      <c r="N323" t="inlineStr">
        <is>
          <t>8. aufl. Hrsg. von der Deutschen chemischen gesellschaft, bearb. von R.J. Meyer, unter beratender mitwirkung von Franz Peters.</t>
        </is>
      </c>
      <c r="O323" t="inlineStr">
        <is>
          <t>ger</t>
        </is>
      </c>
      <c r="P323" t="inlineStr">
        <is>
          <t xml:space="preserve">xx </t>
        </is>
      </c>
      <c r="R323" t="inlineStr">
        <is>
          <t xml:space="preserve">QD </t>
        </is>
      </c>
      <c r="S323" t="n">
        <v>1</v>
      </c>
      <c r="T323" t="n">
        <v>324</v>
      </c>
      <c r="U323" t="inlineStr">
        <is>
          <t>1998-07-27</t>
        </is>
      </c>
      <c r="V323" t="inlineStr">
        <is>
          <t>1998-07-28</t>
        </is>
      </c>
      <c r="W323" t="inlineStr">
        <is>
          <t>1997-06-09</t>
        </is>
      </c>
      <c r="X323" t="inlineStr">
        <is>
          <t>1998-06-24</t>
        </is>
      </c>
      <c r="Y323" t="n">
        <v>259</v>
      </c>
      <c r="Z323" t="n">
        <v>221</v>
      </c>
      <c r="AA323" t="n">
        <v>223</v>
      </c>
      <c r="AB323" t="n">
        <v>2</v>
      </c>
      <c r="AC323" t="n">
        <v>2</v>
      </c>
      <c r="AD323" t="n">
        <v>10</v>
      </c>
      <c r="AE323" t="n">
        <v>10</v>
      </c>
      <c r="AF323" t="n">
        <v>2</v>
      </c>
      <c r="AG323" t="n">
        <v>2</v>
      </c>
      <c r="AH323" t="n">
        <v>2</v>
      </c>
      <c r="AI323" t="n">
        <v>2</v>
      </c>
      <c r="AJ323" t="n">
        <v>8</v>
      </c>
      <c r="AK323" t="n">
        <v>8</v>
      </c>
      <c r="AL323" t="n">
        <v>1</v>
      </c>
      <c r="AM323" t="n">
        <v>1</v>
      </c>
      <c r="AN323" t="n">
        <v>0</v>
      </c>
      <c r="AO323" t="n">
        <v>0</v>
      </c>
      <c r="AP323" t="inlineStr">
        <is>
          <t>No</t>
        </is>
      </c>
      <c r="AQ323" t="inlineStr">
        <is>
          <t>Yes</t>
        </is>
      </c>
      <c r="AR323">
        <f>HYPERLINK("http://catalog.hathitrust.org/Record/009932175","HathiTrust Record")</f>
        <v/>
      </c>
      <c r="AS323">
        <f>HYPERLINK("https://creighton-primo.hosted.exlibrisgroup.com/primo-explore/search?tab=default_tab&amp;search_scope=EVERYTHING&amp;vid=01CRU&amp;lang=en_US&amp;offset=0&amp;query=any,contains,991005356889702656","Catalog Record")</f>
        <v/>
      </c>
      <c r="AT323">
        <f>HYPERLINK("http://www.worldcat.org/oclc/802031","WorldCat Record")</f>
        <v/>
      </c>
      <c r="AU323" t="inlineStr">
        <is>
          <t>4924721893:ger</t>
        </is>
      </c>
      <c r="AV323" t="inlineStr">
        <is>
          <t>802031</t>
        </is>
      </c>
      <c r="AW323" t="inlineStr">
        <is>
          <t>991005356889702656</t>
        </is>
      </c>
      <c r="AX323" t="inlineStr">
        <is>
          <t>991005356889702656</t>
        </is>
      </c>
      <c r="AY323" t="inlineStr">
        <is>
          <t>2270552310002656</t>
        </is>
      </c>
      <c r="AZ323" t="inlineStr">
        <is>
          <t>BOOK</t>
        </is>
      </c>
      <c r="BC323" t="inlineStr">
        <is>
          <t>32285002791720</t>
        </is>
      </c>
      <c r="BD323" t="inlineStr">
        <is>
          <t>893520979</t>
        </is>
      </c>
    </row>
    <row r="324">
      <c r="A324" t="inlineStr">
        <is>
          <t>No</t>
        </is>
      </c>
      <c r="B324" t="inlineStr">
        <is>
          <t>QD151 .G52 NO. 59 PT. B2</t>
        </is>
      </c>
      <c r="C324" t="inlineStr">
        <is>
          <t>0                      QD 0151000G  52                                                      NO. 59 PT. B2</t>
        </is>
      </c>
      <c r="D324" t="inlineStr">
        <is>
          <t>Gmelins Handbuch der anorganischen chemie.</t>
        </is>
      </c>
      <c r="E324" t="inlineStr">
        <is>
          <t>NO. 59 PT. B2*</t>
        </is>
      </c>
      <c r="F324" t="inlineStr">
        <is>
          <t>Yes</t>
        </is>
      </c>
      <c r="G324" t="inlineStr">
        <is>
          <t>1</t>
        </is>
      </c>
      <c r="H324" t="inlineStr">
        <is>
          <t>No</t>
        </is>
      </c>
      <c r="I324" t="inlineStr">
        <is>
          <t>No</t>
        </is>
      </c>
      <c r="J324" t="inlineStr">
        <is>
          <t>0</t>
        </is>
      </c>
      <c r="L324" t="inlineStr">
        <is>
          <t>Leipzig-Berlin, Verlag Chemie g.m.b.h., 1924-</t>
        </is>
      </c>
      <c r="M324" t="inlineStr">
        <is>
          <t>1924</t>
        </is>
      </c>
      <c r="N324" t="inlineStr">
        <is>
          <t>8. aufl. Hrsg. von der Deutschen chemischen gesellschaft, bearb. von R.J. Meyer, unter beratender mitwirkung von Franz Peters.</t>
        </is>
      </c>
      <c r="O324" t="inlineStr">
        <is>
          <t>ger</t>
        </is>
      </c>
      <c r="P324" t="inlineStr">
        <is>
          <t xml:space="preserve">xx </t>
        </is>
      </c>
      <c r="R324" t="inlineStr">
        <is>
          <t xml:space="preserve">QD </t>
        </is>
      </c>
      <c r="S324" t="n">
        <v>1</v>
      </c>
      <c r="T324" t="n">
        <v>324</v>
      </c>
      <c r="U324" t="inlineStr">
        <is>
          <t>1998-07-27</t>
        </is>
      </c>
      <c r="V324" t="inlineStr">
        <is>
          <t>1998-07-28</t>
        </is>
      </c>
      <c r="W324" t="inlineStr">
        <is>
          <t>1997-06-09</t>
        </is>
      </c>
      <c r="X324" t="inlineStr">
        <is>
          <t>1998-06-24</t>
        </is>
      </c>
      <c r="Y324" t="n">
        <v>259</v>
      </c>
      <c r="Z324" t="n">
        <v>221</v>
      </c>
      <c r="AA324" t="n">
        <v>223</v>
      </c>
      <c r="AB324" t="n">
        <v>2</v>
      </c>
      <c r="AC324" t="n">
        <v>2</v>
      </c>
      <c r="AD324" t="n">
        <v>10</v>
      </c>
      <c r="AE324" t="n">
        <v>10</v>
      </c>
      <c r="AF324" t="n">
        <v>2</v>
      </c>
      <c r="AG324" t="n">
        <v>2</v>
      </c>
      <c r="AH324" t="n">
        <v>2</v>
      </c>
      <c r="AI324" t="n">
        <v>2</v>
      </c>
      <c r="AJ324" t="n">
        <v>8</v>
      </c>
      <c r="AK324" t="n">
        <v>8</v>
      </c>
      <c r="AL324" t="n">
        <v>1</v>
      </c>
      <c r="AM324" t="n">
        <v>1</v>
      </c>
      <c r="AN324" t="n">
        <v>0</v>
      </c>
      <c r="AO324" t="n">
        <v>0</v>
      </c>
      <c r="AP324" t="inlineStr">
        <is>
          <t>No</t>
        </is>
      </c>
      <c r="AQ324" t="inlineStr">
        <is>
          <t>Yes</t>
        </is>
      </c>
      <c r="AR324">
        <f>HYPERLINK("http://catalog.hathitrust.org/Record/009932175","HathiTrust Record")</f>
        <v/>
      </c>
      <c r="AS324">
        <f>HYPERLINK("https://creighton-primo.hosted.exlibrisgroup.com/primo-explore/search?tab=default_tab&amp;search_scope=EVERYTHING&amp;vid=01CRU&amp;lang=en_US&amp;offset=0&amp;query=any,contains,991005356889702656","Catalog Record")</f>
        <v/>
      </c>
      <c r="AT324">
        <f>HYPERLINK("http://www.worldcat.org/oclc/802031","WorldCat Record")</f>
        <v/>
      </c>
      <c r="AU324" t="inlineStr">
        <is>
          <t>4924721893:ger</t>
        </is>
      </c>
      <c r="AV324" t="inlineStr">
        <is>
          <t>802031</t>
        </is>
      </c>
      <c r="AW324" t="inlineStr">
        <is>
          <t>991005356889702656</t>
        </is>
      </c>
      <c r="AX324" t="inlineStr">
        <is>
          <t>991005356889702656</t>
        </is>
      </c>
      <c r="AY324" t="inlineStr">
        <is>
          <t>2270552310002656</t>
        </is>
      </c>
      <c r="AZ324" t="inlineStr">
        <is>
          <t>BOOK</t>
        </is>
      </c>
      <c r="BC324" t="inlineStr">
        <is>
          <t>32285002791738</t>
        </is>
      </c>
      <c r="BD324" t="inlineStr">
        <is>
          <t>893514512</t>
        </is>
      </c>
    </row>
    <row r="325">
      <c r="A325" t="inlineStr">
        <is>
          <t>No</t>
        </is>
      </c>
      <c r="B325" t="inlineStr">
        <is>
          <t>QD151 .G52 NO. 59 PT. B3</t>
        </is>
      </c>
      <c r="C325" t="inlineStr">
        <is>
          <t>0                      QD 0151000G  52                                                      NO. 59 PT. B3</t>
        </is>
      </c>
      <c r="D325" t="inlineStr">
        <is>
          <t>Gmelins Handbuch der anorganischen chemie.</t>
        </is>
      </c>
      <c r="E325" t="inlineStr">
        <is>
          <t>NO. 59 PT. B3*</t>
        </is>
      </c>
      <c r="F325" t="inlineStr">
        <is>
          <t>Yes</t>
        </is>
      </c>
      <c r="G325" t="inlineStr">
        <is>
          <t>1</t>
        </is>
      </c>
      <c r="H325" t="inlineStr">
        <is>
          <t>No</t>
        </is>
      </c>
      <c r="I325" t="inlineStr">
        <is>
          <t>No</t>
        </is>
      </c>
      <c r="J325" t="inlineStr">
        <is>
          <t>0</t>
        </is>
      </c>
      <c r="L325" t="inlineStr">
        <is>
          <t>Leipzig-Berlin, Verlag Chemie g.m.b.h., 1924-</t>
        </is>
      </c>
      <c r="M325" t="inlineStr">
        <is>
          <t>1924</t>
        </is>
      </c>
      <c r="N325" t="inlineStr">
        <is>
          <t>8. aufl. Hrsg. von der Deutschen chemischen gesellschaft, bearb. von R.J. Meyer, unter beratender mitwirkung von Franz Peters.</t>
        </is>
      </c>
      <c r="O325" t="inlineStr">
        <is>
          <t>ger</t>
        </is>
      </c>
      <c r="P325" t="inlineStr">
        <is>
          <t xml:space="preserve">xx </t>
        </is>
      </c>
      <c r="R325" t="inlineStr">
        <is>
          <t xml:space="preserve">QD </t>
        </is>
      </c>
      <c r="S325" t="n">
        <v>1</v>
      </c>
      <c r="T325" t="n">
        <v>324</v>
      </c>
      <c r="U325" t="inlineStr">
        <is>
          <t>1998-07-27</t>
        </is>
      </c>
      <c r="V325" t="inlineStr">
        <is>
          <t>1998-07-28</t>
        </is>
      </c>
      <c r="W325" t="inlineStr">
        <is>
          <t>1997-06-09</t>
        </is>
      </c>
      <c r="X325" t="inlineStr">
        <is>
          <t>1998-06-24</t>
        </is>
      </c>
      <c r="Y325" t="n">
        <v>259</v>
      </c>
      <c r="Z325" t="n">
        <v>221</v>
      </c>
      <c r="AA325" t="n">
        <v>223</v>
      </c>
      <c r="AB325" t="n">
        <v>2</v>
      </c>
      <c r="AC325" t="n">
        <v>2</v>
      </c>
      <c r="AD325" t="n">
        <v>10</v>
      </c>
      <c r="AE325" t="n">
        <v>10</v>
      </c>
      <c r="AF325" t="n">
        <v>2</v>
      </c>
      <c r="AG325" t="n">
        <v>2</v>
      </c>
      <c r="AH325" t="n">
        <v>2</v>
      </c>
      <c r="AI325" t="n">
        <v>2</v>
      </c>
      <c r="AJ325" t="n">
        <v>8</v>
      </c>
      <c r="AK325" t="n">
        <v>8</v>
      </c>
      <c r="AL325" t="n">
        <v>1</v>
      </c>
      <c r="AM325" t="n">
        <v>1</v>
      </c>
      <c r="AN325" t="n">
        <v>0</v>
      </c>
      <c r="AO325" t="n">
        <v>0</v>
      </c>
      <c r="AP325" t="inlineStr">
        <is>
          <t>No</t>
        </is>
      </c>
      <c r="AQ325" t="inlineStr">
        <is>
          <t>Yes</t>
        </is>
      </c>
      <c r="AR325">
        <f>HYPERLINK("http://catalog.hathitrust.org/Record/009932175","HathiTrust Record")</f>
        <v/>
      </c>
      <c r="AS325">
        <f>HYPERLINK("https://creighton-primo.hosted.exlibrisgroup.com/primo-explore/search?tab=default_tab&amp;search_scope=EVERYTHING&amp;vid=01CRU&amp;lang=en_US&amp;offset=0&amp;query=any,contains,991005356889702656","Catalog Record")</f>
        <v/>
      </c>
      <c r="AT325">
        <f>HYPERLINK("http://www.worldcat.org/oclc/802031","WorldCat Record")</f>
        <v/>
      </c>
      <c r="AU325" t="inlineStr">
        <is>
          <t>4924721893:ger</t>
        </is>
      </c>
      <c r="AV325" t="inlineStr">
        <is>
          <t>802031</t>
        </is>
      </c>
      <c r="AW325" t="inlineStr">
        <is>
          <t>991005356889702656</t>
        </is>
      </c>
      <c r="AX325" t="inlineStr">
        <is>
          <t>991005356889702656</t>
        </is>
      </c>
      <c r="AY325" t="inlineStr">
        <is>
          <t>2270552310002656</t>
        </is>
      </c>
      <c r="AZ325" t="inlineStr">
        <is>
          <t>BOOK</t>
        </is>
      </c>
      <c r="BC325" t="inlineStr">
        <is>
          <t>32285002791746</t>
        </is>
      </c>
      <c r="BD325" t="inlineStr">
        <is>
          <t>893514543</t>
        </is>
      </c>
    </row>
    <row r="326">
      <c r="A326" t="inlineStr">
        <is>
          <t>No</t>
        </is>
      </c>
      <c r="B326" t="inlineStr">
        <is>
          <t>QD151 .G52 NO. 59 PT. B4</t>
        </is>
      </c>
      <c r="C326" t="inlineStr">
        <is>
          <t>0                      QD 0151000G  52                                                      NO. 59 PT. B4</t>
        </is>
      </c>
      <c r="D326" t="inlineStr">
        <is>
          <t>Gmelins Handbuch der anorganischen chemie.</t>
        </is>
      </c>
      <c r="E326" t="inlineStr">
        <is>
          <t>NO. 59 PT. B4*</t>
        </is>
      </c>
      <c r="F326" t="inlineStr">
        <is>
          <t>Yes</t>
        </is>
      </c>
      <c r="G326" t="inlineStr">
        <is>
          <t>1</t>
        </is>
      </c>
      <c r="H326" t="inlineStr">
        <is>
          <t>No</t>
        </is>
      </c>
      <c r="I326" t="inlineStr">
        <is>
          <t>No</t>
        </is>
      </c>
      <c r="J326" t="inlineStr">
        <is>
          <t>0</t>
        </is>
      </c>
      <c r="L326" t="inlineStr">
        <is>
          <t>Leipzig-Berlin, Verlag Chemie g.m.b.h., 1924-</t>
        </is>
      </c>
      <c r="M326" t="inlineStr">
        <is>
          <t>1924</t>
        </is>
      </c>
      <c r="N326" t="inlineStr">
        <is>
          <t>8. aufl. Hrsg. von der Deutschen chemischen gesellschaft, bearb. von R.J. Meyer, unter beratender mitwirkung von Franz Peters.</t>
        </is>
      </c>
      <c r="O326" t="inlineStr">
        <is>
          <t>ger</t>
        </is>
      </c>
      <c r="P326" t="inlineStr">
        <is>
          <t xml:space="preserve">xx </t>
        </is>
      </c>
      <c r="R326" t="inlineStr">
        <is>
          <t xml:space="preserve">QD </t>
        </is>
      </c>
      <c r="S326" t="n">
        <v>1</v>
      </c>
      <c r="T326" t="n">
        <v>324</v>
      </c>
      <c r="U326" t="inlineStr">
        <is>
          <t>1998-07-27</t>
        </is>
      </c>
      <c r="V326" t="inlineStr">
        <is>
          <t>1998-07-28</t>
        </is>
      </c>
      <c r="W326" t="inlineStr">
        <is>
          <t>1997-06-09</t>
        </is>
      </c>
      <c r="X326" t="inlineStr">
        <is>
          <t>1998-06-24</t>
        </is>
      </c>
      <c r="Y326" t="n">
        <v>259</v>
      </c>
      <c r="Z326" t="n">
        <v>221</v>
      </c>
      <c r="AA326" t="n">
        <v>223</v>
      </c>
      <c r="AB326" t="n">
        <v>2</v>
      </c>
      <c r="AC326" t="n">
        <v>2</v>
      </c>
      <c r="AD326" t="n">
        <v>10</v>
      </c>
      <c r="AE326" t="n">
        <v>10</v>
      </c>
      <c r="AF326" t="n">
        <v>2</v>
      </c>
      <c r="AG326" t="n">
        <v>2</v>
      </c>
      <c r="AH326" t="n">
        <v>2</v>
      </c>
      <c r="AI326" t="n">
        <v>2</v>
      </c>
      <c r="AJ326" t="n">
        <v>8</v>
      </c>
      <c r="AK326" t="n">
        <v>8</v>
      </c>
      <c r="AL326" t="n">
        <v>1</v>
      </c>
      <c r="AM326" t="n">
        <v>1</v>
      </c>
      <c r="AN326" t="n">
        <v>0</v>
      </c>
      <c r="AO326" t="n">
        <v>0</v>
      </c>
      <c r="AP326" t="inlineStr">
        <is>
          <t>No</t>
        </is>
      </c>
      <c r="AQ326" t="inlineStr">
        <is>
          <t>Yes</t>
        </is>
      </c>
      <c r="AR326">
        <f>HYPERLINK("http://catalog.hathitrust.org/Record/009932175","HathiTrust Record")</f>
        <v/>
      </c>
      <c r="AS326">
        <f>HYPERLINK("https://creighton-primo.hosted.exlibrisgroup.com/primo-explore/search?tab=default_tab&amp;search_scope=EVERYTHING&amp;vid=01CRU&amp;lang=en_US&amp;offset=0&amp;query=any,contains,991005356889702656","Catalog Record")</f>
        <v/>
      </c>
      <c r="AT326">
        <f>HYPERLINK("http://www.worldcat.org/oclc/802031","WorldCat Record")</f>
        <v/>
      </c>
      <c r="AU326" t="inlineStr">
        <is>
          <t>4924721893:ger</t>
        </is>
      </c>
      <c r="AV326" t="inlineStr">
        <is>
          <t>802031</t>
        </is>
      </c>
      <c r="AW326" t="inlineStr">
        <is>
          <t>991005356889702656</t>
        </is>
      </c>
      <c r="AX326" t="inlineStr">
        <is>
          <t>991005356889702656</t>
        </is>
      </c>
      <c r="AY326" t="inlineStr">
        <is>
          <t>2270552310002656</t>
        </is>
      </c>
      <c r="AZ326" t="inlineStr">
        <is>
          <t>BOOK</t>
        </is>
      </c>
      <c r="BC326" t="inlineStr">
        <is>
          <t>32285002791753</t>
        </is>
      </c>
      <c r="BD326" t="inlineStr">
        <is>
          <t>893527441</t>
        </is>
      </c>
    </row>
    <row r="327">
      <c r="A327" t="inlineStr">
        <is>
          <t>No</t>
        </is>
      </c>
      <c r="B327" t="inlineStr">
        <is>
          <t>QD151 .G52 NO. 59 PT. B5</t>
        </is>
      </c>
      <c r="C327" t="inlineStr">
        <is>
          <t>0                      QD 0151000G  52                                                      NO. 59 PT. B5</t>
        </is>
      </c>
      <c r="D327" t="inlineStr">
        <is>
          <t>Gmelins Handbuch der anorganischen chemie.</t>
        </is>
      </c>
      <c r="E327" t="inlineStr">
        <is>
          <t>NO. 59 PT. B5*</t>
        </is>
      </c>
      <c r="F327" t="inlineStr">
        <is>
          <t>Yes</t>
        </is>
      </c>
      <c r="G327" t="inlineStr">
        <is>
          <t>1</t>
        </is>
      </c>
      <c r="H327" t="inlineStr">
        <is>
          <t>No</t>
        </is>
      </c>
      <c r="I327" t="inlineStr">
        <is>
          <t>No</t>
        </is>
      </c>
      <c r="J327" t="inlineStr">
        <is>
          <t>0</t>
        </is>
      </c>
      <c r="L327" t="inlineStr">
        <is>
          <t>Leipzig-Berlin, Verlag Chemie g.m.b.h., 1924-</t>
        </is>
      </c>
      <c r="M327" t="inlineStr">
        <is>
          <t>1924</t>
        </is>
      </c>
      <c r="N327" t="inlineStr">
        <is>
          <t>8. aufl. Hrsg. von der Deutschen chemischen gesellschaft, bearb. von R.J. Meyer, unter beratender mitwirkung von Franz Peters.</t>
        </is>
      </c>
      <c r="O327" t="inlineStr">
        <is>
          <t>ger</t>
        </is>
      </c>
      <c r="P327" t="inlineStr">
        <is>
          <t xml:space="preserve">xx </t>
        </is>
      </c>
      <c r="R327" t="inlineStr">
        <is>
          <t xml:space="preserve">QD </t>
        </is>
      </c>
      <c r="S327" t="n">
        <v>1</v>
      </c>
      <c r="T327" t="n">
        <v>324</v>
      </c>
      <c r="U327" t="inlineStr">
        <is>
          <t>1998-07-27</t>
        </is>
      </c>
      <c r="V327" t="inlineStr">
        <is>
          <t>1998-07-28</t>
        </is>
      </c>
      <c r="W327" t="inlineStr">
        <is>
          <t>1997-06-09</t>
        </is>
      </c>
      <c r="X327" t="inlineStr">
        <is>
          <t>1998-06-24</t>
        </is>
      </c>
      <c r="Y327" t="n">
        <v>259</v>
      </c>
      <c r="Z327" t="n">
        <v>221</v>
      </c>
      <c r="AA327" t="n">
        <v>223</v>
      </c>
      <c r="AB327" t="n">
        <v>2</v>
      </c>
      <c r="AC327" t="n">
        <v>2</v>
      </c>
      <c r="AD327" t="n">
        <v>10</v>
      </c>
      <c r="AE327" t="n">
        <v>10</v>
      </c>
      <c r="AF327" t="n">
        <v>2</v>
      </c>
      <c r="AG327" t="n">
        <v>2</v>
      </c>
      <c r="AH327" t="n">
        <v>2</v>
      </c>
      <c r="AI327" t="n">
        <v>2</v>
      </c>
      <c r="AJ327" t="n">
        <v>8</v>
      </c>
      <c r="AK327" t="n">
        <v>8</v>
      </c>
      <c r="AL327" t="n">
        <v>1</v>
      </c>
      <c r="AM327" t="n">
        <v>1</v>
      </c>
      <c r="AN327" t="n">
        <v>0</v>
      </c>
      <c r="AO327" t="n">
        <v>0</v>
      </c>
      <c r="AP327" t="inlineStr">
        <is>
          <t>No</t>
        </is>
      </c>
      <c r="AQ327" t="inlineStr">
        <is>
          <t>Yes</t>
        </is>
      </c>
      <c r="AR327">
        <f>HYPERLINK("http://catalog.hathitrust.org/Record/009932175","HathiTrust Record")</f>
        <v/>
      </c>
      <c r="AS327">
        <f>HYPERLINK("https://creighton-primo.hosted.exlibrisgroup.com/primo-explore/search?tab=default_tab&amp;search_scope=EVERYTHING&amp;vid=01CRU&amp;lang=en_US&amp;offset=0&amp;query=any,contains,991005356889702656","Catalog Record")</f>
        <v/>
      </c>
      <c r="AT327">
        <f>HYPERLINK("http://www.worldcat.org/oclc/802031","WorldCat Record")</f>
        <v/>
      </c>
      <c r="AU327" t="inlineStr">
        <is>
          <t>4924721893:ger</t>
        </is>
      </c>
      <c r="AV327" t="inlineStr">
        <is>
          <t>802031</t>
        </is>
      </c>
      <c r="AW327" t="inlineStr">
        <is>
          <t>991005356889702656</t>
        </is>
      </c>
      <c r="AX327" t="inlineStr">
        <is>
          <t>991005356889702656</t>
        </is>
      </c>
      <c r="AY327" t="inlineStr">
        <is>
          <t>2270552310002656</t>
        </is>
      </c>
      <c r="AZ327" t="inlineStr">
        <is>
          <t>BOOK</t>
        </is>
      </c>
      <c r="BC327" t="inlineStr">
        <is>
          <t>32285002791779</t>
        </is>
      </c>
      <c r="BD327" t="inlineStr">
        <is>
          <t>893514542</t>
        </is>
      </c>
    </row>
    <row r="328">
      <c r="A328" t="inlineStr">
        <is>
          <t>No</t>
        </is>
      </c>
      <c r="B328" t="inlineStr">
        <is>
          <t>QD151 .G52 NO. 59 PT. C1</t>
        </is>
      </c>
      <c r="C328" t="inlineStr">
        <is>
          <t>0                      QD 0151000G  52                                                      NO. 59 PT. C1</t>
        </is>
      </c>
      <c r="D328" t="inlineStr">
        <is>
          <t>Gmelins Handbuch der anorganischen chemie.</t>
        </is>
      </c>
      <c r="E328" t="inlineStr">
        <is>
          <t>NO. 59 PT. C1*</t>
        </is>
      </c>
      <c r="F328" t="inlineStr">
        <is>
          <t>Yes</t>
        </is>
      </c>
      <c r="G328" t="inlineStr">
        <is>
          <t>1</t>
        </is>
      </c>
      <c r="H328" t="inlineStr">
        <is>
          <t>No</t>
        </is>
      </c>
      <c r="I328" t="inlineStr">
        <is>
          <t>No</t>
        </is>
      </c>
      <c r="J328" t="inlineStr">
        <is>
          <t>0</t>
        </is>
      </c>
      <c r="L328" t="inlineStr">
        <is>
          <t>Leipzig-Berlin, Verlag Chemie g.m.b.h., 1924-</t>
        </is>
      </c>
      <c r="M328" t="inlineStr">
        <is>
          <t>1924</t>
        </is>
      </c>
      <c r="N328" t="inlineStr">
        <is>
          <t>8. aufl. Hrsg. von der Deutschen chemischen gesellschaft, bearb. von R.J. Meyer, unter beratender mitwirkung von Franz Peters.</t>
        </is>
      </c>
      <c r="O328" t="inlineStr">
        <is>
          <t>ger</t>
        </is>
      </c>
      <c r="P328" t="inlineStr">
        <is>
          <t xml:space="preserve">xx </t>
        </is>
      </c>
      <c r="R328" t="inlineStr">
        <is>
          <t xml:space="preserve">QD </t>
        </is>
      </c>
      <c r="S328" t="n">
        <v>1</v>
      </c>
      <c r="T328" t="n">
        <v>324</v>
      </c>
      <c r="U328" t="inlineStr">
        <is>
          <t>1998-07-27</t>
        </is>
      </c>
      <c r="V328" t="inlineStr">
        <is>
          <t>1998-07-28</t>
        </is>
      </c>
      <c r="W328" t="inlineStr">
        <is>
          <t>1997-06-09</t>
        </is>
      </c>
      <c r="X328" t="inlineStr">
        <is>
          <t>1998-06-24</t>
        </is>
      </c>
      <c r="Y328" t="n">
        <v>259</v>
      </c>
      <c r="Z328" t="n">
        <v>221</v>
      </c>
      <c r="AA328" t="n">
        <v>223</v>
      </c>
      <c r="AB328" t="n">
        <v>2</v>
      </c>
      <c r="AC328" t="n">
        <v>2</v>
      </c>
      <c r="AD328" t="n">
        <v>10</v>
      </c>
      <c r="AE328" t="n">
        <v>10</v>
      </c>
      <c r="AF328" t="n">
        <v>2</v>
      </c>
      <c r="AG328" t="n">
        <v>2</v>
      </c>
      <c r="AH328" t="n">
        <v>2</v>
      </c>
      <c r="AI328" t="n">
        <v>2</v>
      </c>
      <c r="AJ328" t="n">
        <v>8</v>
      </c>
      <c r="AK328" t="n">
        <v>8</v>
      </c>
      <c r="AL328" t="n">
        <v>1</v>
      </c>
      <c r="AM328" t="n">
        <v>1</v>
      </c>
      <c r="AN328" t="n">
        <v>0</v>
      </c>
      <c r="AO328" t="n">
        <v>0</v>
      </c>
      <c r="AP328" t="inlineStr">
        <is>
          <t>No</t>
        </is>
      </c>
      <c r="AQ328" t="inlineStr">
        <is>
          <t>Yes</t>
        </is>
      </c>
      <c r="AR328">
        <f>HYPERLINK("http://catalog.hathitrust.org/Record/009932175","HathiTrust Record")</f>
        <v/>
      </c>
      <c r="AS328">
        <f>HYPERLINK("https://creighton-primo.hosted.exlibrisgroup.com/primo-explore/search?tab=default_tab&amp;search_scope=EVERYTHING&amp;vid=01CRU&amp;lang=en_US&amp;offset=0&amp;query=any,contains,991005356889702656","Catalog Record")</f>
        <v/>
      </c>
      <c r="AT328">
        <f>HYPERLINK("http://www.worldcat.org/oclc/802031","WorldCat Record")</f>
        <v/>
      </c>
      <c r="AU328" t="inlineStr">
        <is>
          <t>4924721893:ger</t>
        </is>
      </c>
      <c r="AV328" t="inlineStr">
        <is>
          <t>802031</t>
        </is>
      </c>
      <c r="AW328" t="inlineStr">
        <is>
          <t>991005356889702656</t>
        </is>
      </c>
      <c r="AX328" t="inlineStr">
        <is>
          <t>991005356889702656</t>
        </is>
      </c>
      <c r="AY328" t="inlineStr">
        <is>
          <t>2270552310002656</t>
        </is>
      </c>
      <c r="AZ328" t="inlineStr">
        <is>
          <t>BOOK</t>
        </is>
      </c>
      <c r="BC328" t="inlineStr">
        <is>
          <t>32285002791787</t>
        </is>
      </c>
      <c r="BD328" t="inlineStr">
        <is>
          <t>893520942</t>
        </is>
      </c>
    </row>
    <row r="329">
      <c r="A329" t="inlineStr">
        <is>
          <t>No</t>
        </is>
      </c>
      <c r="B329" t="inlineStr">
        <is>
          <t>QD151 .G52 NO. 59 PT. C2</t>
        </is>
      </c>
      <c r="C329" t="inlineStr">
        <is>
          <t>0                      QD 0151000G  52                                                      NO. 59 PT. C2</t>
        </is>
      </c>
      <c r="D329" t="inlineStr">
        <is>
          <t>Gmelins Handbuch der anorganischen chemie.</t>
        </is>
      </c>
      <c r="E329" t="inlineStr">
        <is>
          <t>NO. 59 PT. C2*</t>
        </is>
      </c>
      <c r="F329" t="inlineStr">
        <is>
          <t>Yes</t>
        </is>
      </c>
      <c r="G329" t="inlineStr">
        <is>
          <t>1</t>
        </is>
      </c>
      <c r="H329" t="inlineStr">
        <is>
          <t>No</t>
        </is>
      </c>
      <c r="I329" t="inlineStr">
        <is>
          <t>No</t>
        </is>
      </c>
      <c r="J329" t="inlineStr">
        <is>
          <t>0</t>
        </is>
      </c>
      <c r="L329" t="inlineStr">
        <is>
          <t>Leipzig-Berlin, Verlag Chemie g.m.b.h., 1924-</t>
        </is>
      </c>
      <c r="M329" t="inlineStr">
        <is>
          <t>1924</t>
        </is>
      </c>
      <c r="N329" t="inlineStr">
        <is>
          <t>8. aufl. Hrsg. von der Deutschen chemischen gesellschaft, bearb. von R.J. Meyer, unter beratender mitwirkung von Franz Peters.</t>
        </is>
      </c>
      <c r="O329" t="inlineStr">
        <is>
          <t>ger</t>
        </is>
      </c>
      <c r="P329" t="inlineStr">
        <is>
          <t xml:space="preserve">xx </t>
        </is>
      </c>
      <c r="R329" t="inlineStr">
        <is>
          <t xml:space="preserve">QD </t>
        </is>
      </c>
      <c r="S329" t="n">
        <v>1</v>
      </c>
      <c r="T329" t="n">
        <v>324</v>
      </c>
      <c r="U329" t="inlineStr">
        <is>
          <t>1998-07-27</t>
        </is>
      </c>
      <c r="V329" t="inlineStr">
        <is>
          <t>1998-07-28</t>
        </is>
      </c>
      <c r="W329" t="inlineStr">
        <is>
          <t>1997-06-09</t>
        </is>
      </c>
      <c r="X329" t="inlineStr">
        <is>
          <t>1998-06-24</t>
        </is>
      </c>
      <c r="Y329" t="n">
        <v>259</v>
      </c>
      <c r="Z329" t="n">
        <v>221</v>
      </c>
      <c r="AA329" t="n">
        <v>223</v>
      </c>
      <c r="AB329" t="n">
        <v>2</v>
      </c>
      <c r="AC329" t="n">
        <v>2</v>
      </c>
      <c r="AD329" t="n">
        <v>10</v>
      </c>
      <c r="AE329" t="n">
        <v>10</v>
      </c>
      <c r="AF329" t="n">
        <v>2</v>
      </c>
      <c r="AG329" t="n">
        <v>2</v>
      </c>
      <c r="AH329" t="n">
        <v>2</v>
      </c>
      <c r="AI329" t="n">
        <v>2</v>
      </c>
      <c r="AJ329" t="n">
        <v>8</v>
      </c>
      <c r="AK329" t="n">
        <v>8</v>
      </c>
      <c r="AL329" t="n">
        <v>1</v>
      </c>
      <c r="AM329" t="n">
        <v>1</v>
      </c>
      <c r="AN329" t="n">
        <v>0</v>
      </c>
      <c r="AO329" t="n">
        <v>0</v>
      </c>
      <c r="AP329" t="inlineStr">
        <is>
          <t>No</t>
        </is>
      </c>
      <c r="AQ329" t="inlineStr">
        <is>
          <t>Yes</t>
        </is>
      </c>
      <c r="AR329">
        <f>HYPERLINK("http://catalog.hathitrust.org/Record/009932175","HathiTrust Record")</f>
        <v/>
      </c>
      <c r="AS329">
        <f>HYPERLINK("https://creighton-primo.hosted.exlibrisgroup.com/primo-explore/search?tab=default_tab&amp;search_scope=EVERYTHING&amp;vid=01CRU&amp;lang=en_US&amp;offset=0&amp;query=any,contains,991005356889702656","Catalog Record")</f>
        <v/>
      </c>
      <c r="AT329">
        <f>HYPERLINK("http://www.worldcat.org/oclc/802031","WorldCat Record")</f>
        <v/>
      </c>
      <c r="AU329" t="inlineStr">
        <is>
          <t>4924721893:ger</t>
        </is>
      </c>
      <c r="AV329" t="inlineStr">
        <is>
          <t>802031</t>
        </is>
      </c>
      <c r="AW329" t="inlineStr">
        <is>
          <t>991005356889702656</t>
        </is>
      </c>
      <c r="AX329" t="inlineStr">
        <is>
          <t>991005356889702656</t>
        </is>
      </c>
      <c r="AY329" t="inlineStr">
        <is>
          <t>2270552310002656</t>
        </is>
      </c>
      <c r="AZ329" t="inlineStr">
        <is>
          <t>BOOK</t>
        </is>
      </c>
      <c r="BC329" t="inlineStr">
        <is>
          <t>32285002791795</t>
        </is>
      </c>
      <c r="BD329" t="inlineStr">
        <is>
          <t>893533620</t>
        </is>
      </c>
    </row>
    <row r="330">
      <c r="A330" t="inlineStr">
        <is>
          <t>No</t>
        </is>
      </c>
      <c r="B330" t="inlineStr">
        <is>
          <t>QD151 .G52 NO. 59 PT. D</t>
        </is>
      </c>
      <c r="C330" t="inlineStr">
        <is>
          <t>0                      QD 0151000G  52                                                      NO. 59 PT. D</t>
        </is>
      </c>
      <c r="D330" t="inlineStr">
        <is>
          <t>Gmelins Handbuch der anorganischen chemie.</t>
        </is>
      </c>
      <c r="E330" t="inlineStr">
        <is>
          <t>NO. 59 PT. D*</t>
        </is>
      </c>
      <c r="F330" t="inlineStr">
        <is>
          <t>Yes</t>
        </is>
      </c>
      <c r="G330" t="inlineStr">
        <is>
          <t>1</t>
        </is>
      </c>
      <c r="H330" t="inlineStr">
        <is>
          <t>No</t>
        </is>
      </c>
      <c r="I330" t="inlineStr">
        <is>
          <t>No</t>
        </is>
      </c>
      <c r="J330" t="inlineStr">
        <is>
          <t>0</t>
        </is>
      </c>
      <c r="L330" t="inlineStr">
        <is>
          <t>Leipzig-Berlin, Verlag Chemie g.m.b.h., 1924-</t>
        </is>
      </c>
      <c r="M330" t="inlineStr">
        <is>
          <t>1924</t>
        </is>
      </c>
      <c r="N330" t="inlineStr">
        <is>
          <t>8. aufl. Hrsg. von der Deutschen chemischen gesellschaft, bearb. von R.J. Meyer, unter beratender mitwirkung von Franz Peters.</t>
        </is>
      </c>
      <c r="O330" t="inlineStr">
        <is>
          <t>ger</t>
        </is>
      </c>
      <c r="P330" t="inlineStr">
        <is>
          <t xml:space="preserve">xx </t>
        </is>
      </c>
      <c r="R330" t="inlineStr">
        <is>
          <t xml:space="preserve">QD </t>
        </is>
      </c>
      <c r="S330" t="n">
        <v>1</v>
      </c>
      <c r="T330" t="n">
        <v>324</v>
      </c>
      <c r="U330" t="inlineStr">
        <is>
          <t>1998-07-27</t>
        </is>
      </c>
      <c r="V330" t="inlineStr">
        <is>
          <t>1998-07-28</t>
        </is>
      </c>
      <c r="W330" t="inlineStr">
        <is>
          <t>1997-06-09</t>
        </is>
      </c>
      <c r="X330" t="inlineStr">
        <is>
          <t>1998-06-24</t>
        </is>
      </c>
      <c r="Y330" t="n">
        <v>259</v>
      </c>
      <c r="Z330" t="n">
        <v>221</v>
      </c>
      <c r="AA330" t="n">
        <v>223</v>
      </c>
      <c r="AB330" t="n">
        <v>2</v>
      </c>
      <c r="AC330" t="n">
        <v>2</v>
      </c>
      <c r="AD330" t="n">
        <v>10</v>
      </c>
      <c r="AE330" t="n">
        <v>10</v>
      </c>
      <c r="AF330" t="n">
        <v>2</v>
      </c>
      <c r="AG330" t="n">
        <v>2</v>
      </c>
      <c r="AH330" t="n">
        <v>2</v>
      </c>
      <c r="AI330" t="n">
        <v>2</v>
      </c>
      <c r="AJ330" t="n">
        <v>8</v>
      </c>
      <c r="AK330" t="n">
        <v>8</v>
      </c>
      <c r="AL330" t="n">
        <v>1</v>
      </c>
      <c r="AM330" t="n">
        <v>1</v>
      </c>
      <c r="AN330" t="n">
        <v>0</v>
      </c>
      <c r="AO330" t="n">
        <v>0</v>
      </c>
      <c r="AP330" t="inlineStr">
        <is>
          <t>No</t>
        </is>
      </c>
      <c r="AQ330" t="inlineStr">
        <is>
          <t>Yes</t>
        </is>
      </c>
      <c r="AR330">
        <f>HYPERLINK("http://catalog.hathitrust.org/Record/009932175","HathiTrust Record")</f>
        <v/>
      </c>
      <c r="AS330">
        <f>HYPERLINK("https://creighton-primo.hosted.exlibrisgroup.com/primo-explore/search?tab=default_tab&amp;search_scope=EVERYTHING&amp;vid=01CRU&amp;lang=en_US&amp;offset=0&amp;query=any,contains,991005356889702656","Catalog Record")</f>
        <v/>
      </c>
      <c r="AT330">
        <f>HYPERLINK("http://www.worldcat.org/oclc/802031","WorldCat Record")</f>
        <v/>
      </c>
      <c r="AU330" t="inlineStr">
        <is>
          <t>4924721893:ger</t>
        </is>
      </c>
      <c r="AV330" t="inlineStr">
        <is>
          <t>802031</t>
        </is>
      </c>
      <c r="AW330" t="inlineStr">
        <is>
          <t>991005356889702656</t>
        </is>
      </c>
      <c r="AX330" t="inlineStr">
        <is>
          <t>991005356889702656</t>
        </is>
      </c>
      <c r="AY330" t="inlineStr">
        <is>
          <t>2270552310002656</t>
        </is>
      </c>
      <c r="AZ330" t="inlineStr">
        <is>
          <t>BOOK</t>
        </is>
      </c>
      <c r="BC330" t="inlineStr">
        <is>
          <t>32285002791803</t>
        </is>
      </c>
      <c r="BD330" t="inlineStr">
        <is>
          <t>893520978</t>
        </is>
      </c>
    </row>
    <row r="331">
      <c r="A331" t="inlineStr">
        <is>
          <t>No</t>
        </is>
      </c>
      <c r="B331" t="inlineStr">
        <is>
          <t>QD151 .G52 NO. 59 PT. F1 SECT.1-2</t>
        </is>
      </c>
      <c r="C331" t="inlineStr">
        <is>
          <t>0                      QD 0151000G  52                                                      NO. 59 PT. F1 SECT.1-2</t>
        </is>
      </c>
      <c r="D331" t="inlineStr">
        <is>
          <t>Gmelins Handbuch der anorganischen chemie.</t>
        </is>
      </c>
      <c r="E331" t="inlineStr">
        <is>
          <t>NO. 59 PT. F1 SECT.1-2*</t>
        </is>
      </c>
      <c r="F331" t="inlineStr">
        <is>
          <t>Yes</t>
        </is>
      </c>
      <c r="G331" t="inlineStr">
        <is>
          <t>1</t>
        </is>
      </c>
      <c r="H331" t="inlineStr">
        <is>
          <t>No</t>
        </is>
      </c>
      <c r="I331" t="inlineStr">
        <is>
          <t>No</t>
        </is>
      </c>
      <c r="J331" t="inlineStr">
        <is>
          <t>0</t>
        </is>
      </c>
      <c r="L331" t="inlineStr">
        <is>
          <t>Leipzig-Berlin, Verlag Chemie g.m.b.h., 1924-</t>
        </is>
      </c>
      <c r="M331" t="inlineStr">
        <is>
          <t>1924</t>
        </is>
      </c>
      <c r="N331" t="inlineStr">
        <is>
          <t>8. aufl. Hrsg. von der Deutschen chemischen gesellschaft, bearb. von R.J. Meyer, unter beratender mitwirkung von Franz Peters.</t>
        </is>
      </c>
      <c r="O331" t="inlineStr">
        <is>
          <t>ger</t>
        </is>
      </c>
      <c r="P331" t="inlineStr">
        <is>
          <t xml:space="preserve">xx </t>
        </is>
      </c>
      <c r="R331" t="inlineStr">
        <is>
          <t xml:space="preserve">QD </t>
        </is>
      </c>
      <c r="S331" t="n">
        <v>1</v>
      </c>
      <c r="T331" t="n">
        <v>324</v>
      </c>
      <c r="U331" t="inlineStr">
        <is>
          <t>1998-07-27</t>
        </is>
      </c>
      <c r="V331" t="inlineStr">
        <is>
          <t>1998-07-28</t>
        </is>
      </c>
      <c r="W331" t="inlineStr">
        <is>
          <t>1997-06-09</t>
        </is>
      </c>
      <c r="X331" t="inlineStr">
        <is>
          <t>1998-06-24</t>
        </is>
      </c>
      <c r="Y331" t="n">
        <v>259</v>
      </c>
      <c r="Z331" t="n">
        <v>221</v>
      </c>
      <c r="AA331" t="n">
        <v>223</v>
      </c>
      <c r="AB331" t="n">
        <v>2</v>
      </c>
      <c r="AC331" t="n">
        <v>2</v>
      </c>
      <c r="AD331" t="n">
        <v>10</v>
      </c>
      <c r="AE331" t="n">
        <v>10</v>
      </c>
      <c r="AF331" t="n">
        <v>2</v>
      </c>
      <c r="AG331" t="n">
        <v>2</v>
      </c>
      <c r="AH331" t="n">
        <v>2</v>
      </c>
      <c r="AI331" t="n">
        <v>2</v>
      </c>
      <c r="AJ331" t="n">
        <v>8</v>
      </c>
      <c r="AK331" t="n">
        <v>8</v>
      </c>
      <c r="AL331" t="n">
        <v>1</v>
      </c>
      <c r="AM331" t="n">
        <v>1</v>
      </c>
      <c r="AN331" t="n">
        <v>0</v>
      </c>
      <c r="AO331" t="n">
        <v>0</v>
      </c>
      <c r="AP331" t="inlineStr">
        <is>
          <t>No</t>
        </is>
      </c>
      <c r="AQ331" t="inlineStr">
        <is>
          <t>Yes</t>
        </is>
      </c>
      <c r="AR331">
        <f>HYPERLINK("http://catalog.hathitrust.org/Record/009932175","HathiTrust Record")</f>
        <v/>
      </c>
      <c r="AS331">
        <f>HYPERLINK("https://creighton-primo.hosted.exlibrisgroup.com/primo-explore/search?tab=default_tab&amp;search_scope=EVERYTHING&amp;vid=01CRU&amp;lang=en_US&amp;offset=0&amp;query=any,contains,991005356889702656","Catalog Record")</f>
        <v/>
      </c>
      <c r="AT331">
        <f>HYPERLINK("http://www.worldcat.org/oclc/802031","WorldCat Record")</f>
        <v/>
      </c>
      <c r="AU331" t="inlineStr">
        <is>
          <t>4924721893:ger</t>
        </is>
      </c>
      <c r="AV331" t="inlineStr">
        <is>
          <t>802031</t>
        </is>
      </c>
      <c r="AW331" t="inlineStr">
        <is>
          <t>991005356889702656</t>
        </is>
      </c>
      <c r="AX331" t="inlineStr">
        <is>
          <t>991005356889702656</t>
        </is>
      </c>
      <c r="AY331" t="inlineStr">
        <is>
          <t>2270552310002656</t>
        </is>
      </c>
      <c r="AZ331" t="inlineStr">
        <is>
          <t>BOOK</t>
        </is>
      </c>
      <c r="BC331" t="inlineStr">
        <is>
          <t>32285002791837</t>
        </is>
      </c>
      <c r="BD331" t="inlineStr">
        <is>
          <t>893520977</t>
        </is>
      </c>
    </row>
    <row r="332">
      <c r="A332" t="inlineStr">
        <is>
          <t>No</t>
        </is>
      </c>
      <c r="B332" t="inlineStr">
        <is>
          <t>QD151 .G52 NO. 59 PT. F2 SECT. 1</t>
        </is>
      </c>
      <c r="C332" t="inlineStr">
        <is>
          <t>0                      QD 0151000G  52                                                      NO. 59 PT. F2 SECT. 1</t>
        </is>
      </c>
      <c r="D332" t="inlineStr">
        <is>
          <t>Gmelins Handbuch der anorganischen chemie.</t>
        </is>
      </c>
      <c r="E332" t="inlineStr">
        <is>
          <t>NO. 59 PT. F2 SECT. 1*</t>
        </is>
      </c>
      <c r="F332" t="inlineStr">
        <is>
          <t>Yes</t>
        </is>
      </c>
      <c r="G332" t="inlineStr">
        <is>
          <t>1</t>
        </is>
      </c>
      <c r="H332" t="inlineStr">
        <is>
          <t>No</t>
        </is>
      </c>
      <c r="I332" t="inlineStr">
        <is>
          <t>No</t>
        </is>
      </c>
      <c r="J332" t="inlineStr">
        <is>
          <t>0</t>
        </is>
      </c>
      <c r="L332" t="inlineStr">
        <is>
          <t>Leipzig-Berlin, Verlag Chemie g.m.b.h., 1924-</t>
        </is>
      </c>
      <c r="M332" t="inlineStr">
        <is>
          <t>1924</t>
        </is>
      </c>
      <c r="N332" t="inlineStr">
        <is>
          <t>8. aufl. Hrsg. von der Deutschen chemischen gesellschaft, bearb. von R.J. Meyer, unter beratender mitwirkung von Franz Peters.</t>
        </is>
      </c>
      <c r="O332" t="inlineStr">
        <is>
          <t>ger</t>
        </is>
      </c>
      <c r="P332" t="inlineStr">
        <is>
          <t xml:space="preserve">xx </t>
        </is>
      </c>
      <c r="R332" t="inlineStr">
        <is>
          <t xml:space="preserve">QD </t>
        </is>
      </c>
      <c r="S332" t="n">
        <v>1</v>
      </c>
      <c r="T332" t="n">
        <v>324</v>
      </c>
      <c r="U332" t="inlineStr">
        <is>
          <t>1998-07-27</t>
        </is>
      </c>
      <c r="V332" t="inlineStr">
        <is>
          <t>1998-07-28</t>
        </is>
      </c>
      <c r="W332" t="inlineStr">
        <is>
          <t>1997-06-09</t>
        </is>
      </c>
      <c r="X332" t="inlineStr">
        <is>
          <t>1998-06-24</t>
        </is>
      </c>
      <c r="Y332" t="n">
        <v>259</v>
      </c>
      <c r="Z332" t="n">
        <v>221</v>
      </c>
      <c r="AA332" t="n">
        <v>223</v>
      </c>
      <c r="AB332" t="n">
        <v>2</v>
      </c>
      <c r="AC332" t="n">
        <v>2</v>
      </c>
      <c r="AD332" t="n">
        <v>10</v>
      </c>
      <c r="AE332" t="n">
        <v>10</v>
      </c>
      <c r="AF332" t="n">
        <v>2</v>
      </c>
      <c r="AG332" t="n">
        <v>2</v>
      </c>
      <c r="AH332" t="n">
        <v>2</v>
      </c>
      <c r="AI332" t="n">
        <v>2</v>
      </c>
      <c r="AJ332" t="n">
        <v>8</v>
      </c>
      <c r="AK332" t="n">
        <v>8</v>
      </c>
      <c r="AL332" t="n">
        <v>1</v>
      </c>
      <c r="AM332" t="n">
        <v>1</v>
      </c>
      <c r="AN332" t="n">
        <v>0</v>
      </c>
      <c r="AO332" t="n">
        <v>0</v>
      </c>
      <c r="AP332" t="inlineStr">
        <is>
          <t>No</t>
        </is>
      </c>
      <c r="AQ332" t="inlineStr">
        <is>
          <t>Yes</t>
        </is>
      </c>
      <c r="AR332">
        <f>HYPERLINK("http://catalog.hathitrust.org/Record/009932175","HathiTrust Record")</f>
        <v/>
      </c>
      <c r="AS332">
        <f>HYPERLINK("https://creighton-primo.hosted.exlibrisgroup.com/primo-explore/search?tab=default_tab&amp;search_scope=EVERYTHING&amp;vid=01CRU&amp;lang=en_US&amp;offset=0&amp;query=any,contains,991005356889702656","Catalog Record")</f>
        <v/>
      </c>
      <c r="AT332">
        <f>HYPERLINK("http://www.worldcat.org/oclc/802031","WorldCat Record")</f>
        <v/>
      </c>
      <c r="AU332" t="inlineStr">
        <is>
          <t>4924721893:ger</t>
        </is>
      </c>
      <c r="AV332" t="inlineStr">
        <is>
          <t>802031</t>
        </is>
      </c>
      <c r="AW332" t="inlineStr">
        <is>
          <t>991005356889702656</t>
        </is>
      </c>
      <c r="AX332" t="inlineStr">
        <is>
          <t>991005356889702656</t>
        </is>
      </c>
      <c r="AY332" t="inlineStr">
        <is>
          <t>2270552310002656</t>
        </is>
      </c>
      <c r="AZ332" t="inlineStr">
        <is>
          <t>BOOK</t>
        </is>
      </c>
      <c r="BC332" t="inlineStr">
        <is>
          <t>32285002791845</t>
        </is>
      </c>
      <c r="BD332" t="inlineStr">
        <is>
          <t>893501794</t>
        </is>
      </c>
    </row>
    <row r="333">
      <c r="A333" t="inlineStr">
        <is>
          <t>No</t>
        </is>
      </c>
      <c r="B333" t="inlineStr">
        <is>
          <t>QD151 .G52 NO. 59 PT. F2 SECT. 2</t>
        </is>
      </c>
      <c r="C333" t="inlineStr">
        <is>
          <t>0                      QD 0151000G  52                                                      NO. 59 PT. F2 SECT. 2</t>
        </is>
      </c>
      <c r="D333" t="inlineStr">
        <is>
          <t>Gmelins Handbuch der anorganischen chemie.</t>
        </is>
      </c>
      <c r="E333" t="inlineStr">
        <is>
          <t>NO. 59 PT. F2 SECT. 2*</t>
        </is>
      </c>
      <c r="F333" t="inlineStr">
        <is>
          <t>Yes</t>
        </is>
      </c>
      <c r="G333" t="inlineStr">
        <is>
          <t>1</t>
        </is>
      </c>
      <c r="H333" t="inlineStr">
        <is>
          <t>No</t>
        </is>
      </c>
      <c r="I333" t="inlineStr">
        <is>
          <t>No</t>
        </is>
      </c>
      <c r="J333" t="inlineStr">
        <is>
          <t>0</t>
        </is>
      </c>
      <c r="L333" t="inlineStr">
        <is>
          <t>Leipzig-Berlin, Verlag Chemie g.m.b.h., 1924-</t>
        </is>
      </c>
      <c r="M333" t="inlineStr">
        <is>
          <t>1924</t>
        </is>
      </c>
      <c r="N333" t="inlineStr">
        <is>
          <t>8. aufl. Hrsg. von der Deutschen chemischen gesellschaft, bearb. von R.J. Meyer, unter beratender mitwirkung von Franz Peters.</t>
        </is>
      </c>
      <c r="O333" t="inlineStr">
        <is>
          <t>ger</t>
        </is>
      </c>
      <c r="P333" t="inlineStr">
        <is>
          <t xml:space="preserve">xx </t>
        </is>
      </c>
      <c r="R333" t="inlineStr">
        <is>
          <t xml:space="preserve">QD </t>
        </is>
      </c>
      <c r="S333" t="n">
        <v>1</v>
      </c>
      <c r="T333" t="n">
        <v>324</v>
      </c>
      <c r="U333" t="inlineStr">
        <is>
          <t>1998-07-27</t>
        </is>
      </c>
      <c r="V333" t="inlineStr">
        <is>
          <t>1998-07-28</t>
        </is>
      </c>
      <c r="W333" t="inlineStr">
        <is>
          <t>1997-06-09</t>
        </is>
      </c>
      <c r="X333" t="inlineStr">
        <is>
          <t>1998-06-24</t>
        </is>
      </c>
      <c r="Y333" t="n">
        <v>259</v>
      </c>
      <c r="Z333" t="n">
        <v>221</v>
      </c>
      <c r="AA333" t="n">
        <v>223</v>
      </c>
      <c r="AB333" t="n">
        <v>2</v>
      </c>
      <c r="AC333" t="n">
        <v>2</v>
      </c>
      <c r="AD333" t="n">
        <v>10</v>
      </c>
      <c r="AE333" t="n">
        <v>10</v>
      </c>
      <c r="AF333" t="n">
        <v>2</v>
      </c>
      <c r="AG333" t="n">
        <v>2</v>
      </c>
      <c r="AH333" t="n">
        <v>2</v>
      </c>
      <c r="AI333" t="n">
        <v>2</v>
      </c>
      <c r="AJ333" t="n">
        <v>8</v>
      </c>
      <c r="AK333" t="n">
        <v>8</v>
      </c>
      <c r="AL333" t="n">
        <v>1</v>
      </c>
      <c r="AM333" t="n">
        <v>1</v>
      </c>
      <c r="AN333" t="n">
        <v>0</v>
      </c>
      <c r="AO333" t="n">
        <v>0</v>
      </c>
      <c r="AP333" t="inlineStr">
        <is>
          <t>No</t>
        </is>
      </c>
      <c r="AQ333" t="inlineStr">
        <is>
          <t>Yes</t>
        </is>
      </c>
      <c r="AR333">
        <f>HYPERLINK("http://catalog.hathitrust.org/Record/009932175","HathiTrust Record")</f>
        <v/>
      </c>
      <c r="AS333">
        <f>HYPERLINK("https://creighton-primo.hosted.exlibrisgroup.com/primo-explore/search?tab=default_tab&amp;search_scope=EVERYTHING&amp;vid=01CRU&amp;lang=en_US&amp;offset=0&amp;query=any,contains,991005356889702656","Catalog Record")</f>
        <v/>
      </c>
      <c r="AT333">
        <f>HYPERLINK("http://www.worldcat.org/oclc/802031","WorldCat Record")</f>
        <v/>
      </c>
      <c r="AU333" t="inlineStr">
        <is>
          <t>4924721893:ger</t>
        </is>
      </c>
      <c r="AV333" t="inlineStr">
        <is>
          <t>802031</t>
        </is>
      </c>
      <c r="AW333" t="inlineStr">
        <is>
          <t>991005356889702656</t>
        </is>
      </c>
      <c r="AX333" t="inlineStr">
        <is>
          <t>991005356889702656</t>
        </is>
      </c>
      <c r="AY333" t="inlineStr">
        <is>
          <t>2270552310002656</t>
        </is>
      </c>
      <c r="AZ333" t="inlineStr">
        <is>
          <t>BOOK</t>
        </is>
      </c>
      <c r="BC333" t="inlineStr">
        <is>
          <t>32285002791852</t>
        </is>
      </c>
      <c r="BD333" t="inlineStr">
        <is>
          <t>893527440</t>
        </is>
      </c>
    </row>
    <row r="334">
      <c r="A334" t="inlineStr">
        <is>
          <t>No</t>
        </is>
      </c>
      <c r="B334" t="inlineStr">
        <is>
          <t>QD151 .G52 NO. 59 SECT. B4</t>
        </is>
      </c>
      <c r="C334" t="inlineStr">
        <is>
          <t>0                      QD 0151000G  52                                                      NO. 59 SECT. B4</t>
        </is>
      </c>
      <c r="D334" t="inlineStr">
        <is>
          <t>Gmelins Handbuch der anorganischen chemie.</t>
        </is>
      </c>
      <c r="E334" t="inlineStr">
        <is>
          <t>NO. 59 SECT. B4*</t>
        </is>
      </c>
      <c r="F334" t="inlineStr">
        <is>
          <t>Yes</t>
        </is>
      </c>
      <c r="G334" t="inlineStr">
        <is>
          <t>1</t>
        </is>
      </c>
      <c r="H334" t="inlineStr">
        <is>
          <t>No</t>
        </is>
      </c>
      <c r="I334" t="inlineStr">
        <is>
          <t>No</t>
        </is>
      </c>
      <c r="J334" t="inlineStr">
        <is>
          <t>0</t>
        </is>
      </c>
      <c r="L334" t="inlineStr">
        <is>
          <t>Leipzig-Berlin, Verlag Chemie g.m.b.h., 1924-</t>
        </is>
      </c>
      <c r="M334" t="inlineStr">
        <is>
          <t>1924</t>
        </is>
      </c>
      <c r="N334" t="inlineStr">
        <is>
          <t>8. aufl. Hrsg. von der Deutschen chemischen gesellschaft, bearb. von R.J. Meyer, unter beratender mitwirkung von Franz Peters.</t>
        </is>
      </c>
      <c r="O334" t="inlineStr">
        <is>
          <t>ger</t>
        </is>
      </c>
      <c r="P334" t="inlineStr">
        <is>
          <t xml:space="preserve">xx </t>
        </is>
      </c>
      <c r="R334" t="inlineStr">
        <is>
          <t xml:space="preserve">QD </t>
        </is>
      </c>
      <c r="S334" t="n">
        <v>1</v>
      </c>
      <c r="T334" t="n">
        <v>324</v>
      </c>
      <c r="U334" t="inlineStr">
        <is>
          <t>1998-07-27</t>
        </is>
      </c>
      <c r="V334" t="inlineStr">
        <is>
          <t>1998-07-28</t>
        </is>
      </c>
      <c r="W334" t="inlineStr">
        <is>
          <t>1997-06-09</t>
        </is>
      </c>
      <c r="X334" t="inlineStr">
        <is>
          <t>1998-06-24</t>
        </is>
      </c>
      <c r="Y334" t="n">
        <v>259</v>
      </c>
      <c r="Z334" t="n">
        <v>221</v>
      </c>
      <c r="AA334" t="n">
        <v>223</v>
      </c>
      <c r="AB334" t="n">
        <v>2</v>
      </c>
      <c r="AC334" t="n">
        <v>2</v>
      </c>
      <c r="AD334" t="n">
        <v>10</v>
      </c>
      <c r="AE334" t="n">
        <v>10</v>
      </c>
      <c r="AF334" t="n">
        <v>2</v>
      </c>
      <c r="AG334" t="n">
        <v>2</v>
      </c>
      <c r="AH334" t="n">
        <v>2</v>
      </c>
      <c r="AI334" t="n">
        <v>2</v>
      </c>
      <c r="AJ334" t="n">
        <v>8</v>
      </c>
      <c r="AK334" t="n">
        <v>8</v>
      </c>
      <c r="AL334" t="n">
        <v>1</v>
      </c>
      <c r="AM334" t="n">
        <v>1</v>
      </c>
      <c r="AN334" t="n">
        <v>0</v>
      </c>
      <c r="AO334" t="n">
        <v>0</v>
      </c>
      <c r="AP334" t="inlineStr">
        <is>
          <t>No</t>
        </is>
      </c>
      <c r="AQ334" t="inlineStr">
        <is>
          <t>Yes</t>
        </is>
      </c>
      <c r="AR334">
        <f>HYPERLINK("http://catalog.hathitrust.org/Record/009932175","HathiTrust Record")</f>
        <v/>
      </c>
      <c r="AS334">
        <f>HYPERLINK("https://creighton-primo.hosted.exlibrisgroup.com/primo-explore/search?tab=default_tab&amp;search_scope=EVERYTHING&amp;vid=01CRU&amp;lang=en_US&amp;offset=0&amp;query=any,contains,991005356889702656","Catalog Record")</f>
        <v/>
      </c>
      <c r="AT334">
        <f>HYPERLINK("http://www.worldcat.org/oclc/802031","WorldCat Record")</f>
        <v/>
      </c>
      <c r="AU334" t="inlineStr">
        <is>
          <t>4924721893:ger</t>
        </is>
      </c>
      <c r="AV334" t="inlineStr">
        <is>
          <t>802031</t>
        </is>
      </c>
      <c r="AW334" t="inlineStr">
        <is>
          <t>991005356889702656</t>
        </is>
      </c>
      <c r="AX334" t="inlineStr">
        <is>
          <t>991005356889702656</t>
        </is>
      </c>
      <c r="AY334" t="inlineStr">
        <is>
          <t>2270552310002656</t>
        </is>
      </c>
      <c r="AZ334" t="inlineStr">
        <is>
          <t>BOOK</t>
        </is>
      </c>
      <c r="BC334" t="inlineStr">
        <is>
          <t>32285002791761</t>
        </is>
      </c>
      <c r="BD334" t="inlineStr">
        <is>
          <t>893514541</t>
        </is>
      </c>
    </row>
    <row r="335">
      <c r="A335" t="inlineStr">
        <is>
          <t>No</t>
        </is>
      </c>
      <c r="B335" t="inlineStr">
        <is>
          <t>QD151 .G52 NO. 59 SUPP. 1 PT. D</t>
        </is>
      </c>
      <c r="C335" t="inlineStr">
        <is>
          <t>0                      QD 0151000G  52                                                      NO. 59 SUPP. 1 PT. D</t>
        </is>
      </c>
      <c r="D335" t="inlineStr">
        <is>
          <t>Gmelins Handbuch der anorganischen chemie.</t>
        </is>
      </c>
      <c r="E335" t="inlineStr">
        <is>
          <t>NO. 59 SUPP. 1 PT. D*</t>
        </is>
      </c>
      <c r="F335" t="inlineStr">
        <is>
          <t>Yes</t>
        </is>
      </c>
      <c r="G335" t="inlineStr">
        <is>
          <t>1</t>
        </is>
      </c>
      <c r="H335" t="inlineStr">
        <is>
          <t>No</t>
        </is>
      </c>
      <c r="I335" t="inlineStr">
        <is>
          <t>No</t>
        </is>
      </c>
      <c r="J335" t="inlineStr">
        <is>
          <t>0</t>
        </is>
      </c>
      <c r="L335" t="inlineStr">
        <is>
          <t>Leipzig-Berlin, Verlag Chemie g.m.b.h., 1924-</t>
        </is>
      </c>
      <c r="M335" t="inlineStr">
        <is>
          <t>1924</t>
        </is>
      </c>
      <c r="N335" t="inlineStr">
        <is>
          <t>8. aufl. Hrsg. von der Deutschen chemischen gesellschaft, bearb. von R.J. Meyer, unter beratender mitwirkung von Franz Peters.</t>
        </is>
      </c>
      <c r="O335" t="inlineStr">
        <is>
          <t>ger</t>
        </is>
      </c>
      <c r="P335" t="inlineStr">
        <is>
          <t xml:space="preserve">xx </t>
        </is>
      </c>
      <c r="R335" t="inlineStr">
        <is>
          <t xml:space="preserve">QD </t>
        </is>
      </c>
      <c r="S335" t="n">
        <v>1</v>
      </c>
      <c r="T335" t="n">
        <v>324</v>
      </c>
      <c r="U335" t="inlineStr">
        <is>
          <t>1998-07-27</t>
        </is>
      </c>
      <c r="V335" t="inlineStr">
        <is>
          <t>1998-07-28</t>
        </is>
      </c>
      <c r="W335" t="inlineStr">
        <is>
          <t>1997-06-09</t>
        </is>
      </c>
      <c r="X335" t="inlineStr">
        <is>
          <t>1998-06-24</t>
        </is>
      </c>
      <c r="Y335" t="n">
        <v>259</v>
      </c>
      <c r="Z335" t="n">
        <v>221</v>
      </c>
      <c r="AA335" t="n">
        <v>223</v>
      </c>
      <c r="AB335" t="n">
        <v>2</v>
      </c>
      <c r="AC335" t="n">
        <v>2</v>
      </c>
      <c r="AD335" t="n">
        <v>10</v>
      </c>
      <c r="AE335" t="n">
        <v>10</v>
      </c>
      <c r="AF335" t="n">
        <v>2</v>
      </c>
      <c r="AG335" t="n">
        <v>2</v>
      </c>
      <c r="AH335" t="n">
        <v>2</v>
      </c>
      <c r="AI335" t="n">
        <v>2</v>
      </c>
      <c r="AJ335" t="n">
        <v>8</v>
      </c>
      <c r="AK335" t="n">
        <v>8</v>
      </c>
      <c r="AL335" t="n">
        <v>1</v>
      </c>
      <c r="AM335" t="n">
        <v>1</v>
      </c>
      <c r="AN335" t="n">
        <v>0</v>
      </c>
      <c r="AO335" t="n">
        <v>0</v>
      </c>
      <c r="AP335" t="inlineStr">
        <is>
          <t>No</t>
        </is>
      </c>
      <c r="AQ335" t="inlineStr">
        <is>
          <t>Yes</t>
        </is>
      </c>
      <c r="AR335">
        <f>HYPERLINK("http://catalog.hathitrust.org/Record/009932175","HathiTrust Record")</f>
        <v/>
      </c>
      <c r="AS335">
        <f>HYPERLINK("https://creighton-primo.hosted.exlibrisgroup.com/primo-explore/search?tab=default_tab&amp;search_scope=EVERYTHING&amp;vid=01CRU&amp;lang=en_US&amp;offset=0&amp;query=any,contains,991005356889702656","Catalog Record")</f>
        <v/>
      </c>
      <c r="AT335">
        <f>HYPERLINK("http://www.worldcat.org/oclc/802031","WorldCat Record")</f>
        <v/>
      </c>
      <c r="AU335" t="inlineStr">
        <is>
          <t>4924721893:ger</t>
        </is>
      </c>
      <c r="AV335" t="inlineStr">
        <is>
          <t>802031</t>
        </is>
      </c>
      <c r="AW335" t="inlineStr">
        <is>
          <t>991005356889702656</t>
        </is>
      </c>
      <c r="AX335" t="inlineStr">
        <is>
          <t>991005356889702656</t>
        </is>
      </c>
      <c r="AY335" t="inlineStr">
        <is>
          <t>2270552310002656</t>
        </is>
      </c>
      <c r="AZ335" t="inlineStr">
        <is>
          <t>BOOK</t>
        </is>
      </c>
      <c r="BC335" t="inlineStr">
        <is>
          <t>32285002791811</t>
        </is>
      </c>
      <c r="BD335" t="inlineStr">
        <is>
          <t>893533619</t>
        </is>
      </c>
    </row>
    <row r="336">
      <c r="A336" t="inlineStr">
        <is>
          <t>No</t>
        </is>
      </c>
      <c r="B336" t="inlineStr">
        <is>
          <t>QD151 .G52 NO. 59 SUPP. 2 PT. D</t>
        </is>
      </c>
      <c r="C336" t="inlineStr">
        <is>
          <t>0                      QD 0151000G  52                                                      NO. 59 SUPP. 2 PT. D</t>
        </is>
      </c>
      <c r="D336" t="inlineStr">
        <is>
          <t>Gmelins Handbuch der anorganischen chemie.</t>
        </is>
      </c>
      <c r="E336" t="inlineStr">
        <is>
          <t>NO. 59 SUPP. 2 PT. D*</t>
        </is>
      </c>
      <c r="F336" t="inlineStr">
        <is>
          <t>Yes</t>
        </is>
      </c>
      <c r="G336" t="inlineStr">
        <is>
          <t>1</t>
        </is>
      </c>
      <c r="H336" t="inlineStr">
        <is>
          <t>No</t>
        </is>
      </c>
      <c r="I336" t="inlineStr">
        <is>
          <t>No</t>
        </is>
      </c>
      <c r="J336" t="inlineStr">
        <is>
          <t>0</t>
        </is>
      </c>
      <c r="L336" t="inlineStr">
        <is>
          <t>Leipzig-Berlin, Verlag Chemie g.m.b.h., 1924-</t>
        </is>
      </c>
      <c r="M336" t="inlineStr">
        <is>
          <t>1924</t>
        </is>
      </c>
      <c r="N336" t="inlineStr">
        <is>
          <t>8. aufl. Hrsg. von der Deutschen chemischen gesellschaft, bearb. von R.J. Meyer, unter beratender mitwirkung von Franz Peters.</t>
        </is>
      </c>
      <c r="O336" t="inlineStr">
        <is>
          <t>ger</t>
        </is>
      </c>
      <c r="P336" t="inlineStr">
        <is>
          <t xml:space="preserve">xx </t>
        </is>
      </c>
      <c r="R336" t="inlineStr">
        <is>
          <t xml:space="preserve">QD </t>
        </is>
      </c>
      <c r="S336" t="n">
        <v>1</v>
      </c>
      <c r="T336" t="n">
        <v>324</v>
      </c>
      <c r="U336" t="inlineStr">
        <is>
          <t>1998-07-27</t>
        </is>
      </c>
      <c r="V336" t="inlineStr">
        <is>
          <t>1998-07-28</t>
        </is>
      </c>
      <c r="W336" t="inlineStr">
        <is>
          <t>1997-06-09</t>
        </is>
      </c>
      <c r="X336" t="inlineStr">
        <is>
          <t>1998-06-24</t>
        </is>
      </c>
      <c r="Y336" t="n">
        <v>259</v>
      </c>
      <c r="Z336" t="n">
        <v>221</v>
      </c>
      <c r="AA336" t="n">
        <v>223</v>
      </c>
      <c r="AB336" t="n">
        <v>2</v>
      </c>
      <c r="AC336" t="n">
        <v>2</v>
      </c>
      <c r="AD336" t="n">
        <v>10</v>
      </c>
      <c r="AE336" t="n">
        <v>10</v>
      </c>
      <c r="AF336" t="n">
        <v>2</v>
      </c>
      <c r="AG336" t="n">
        <v>2</v>
      </c>
      <c r="AH336" t="n">
        <v>2</v>
      </c>
      <c r="AI336" t="n">
        <v>2</v>
      </c>
      <c r="AJ336" t="n">
        <v>8</v>
      </c>
      <c r="AK336" t="n">
        <v>8</v>
      </c>
      <c r="AL336" t="n">
        <v>1</v>
      </c>
      <c r="AM336" t="n">
        <v>1</v>
      </c>
      <c r="AN336" t="n">
        <v>0</v>
      </c>
      <c r="AO336" t="n">
        <v>0</v>
      </c>
      <c r="AP336" t="inlineStr">
        <is>
          <t>No</t>
        </is>
      </c>
      <c r="AQ336" t="inlineStr">
        <is>
          <t>Yes</t>
        </is>
      </c>
      <c r="AR336">
        <f>HYPERLINK("http://catalog.hathitrust.org/Record/009932175","HathiTrust Record")</f>
        <v/>
      </c>
      <c r="AS336">
        <f>HYPERLINK("https://creighton-primo.hosted.exlibrisgroup.com/primo-explore/search?tab=default_tab&amp;search_scope=EVERYTHING&amp;vid=01CRU&amp;lang=en_US&amp;offset=0&amp;query=any,contains,991005356889702656","Catalog Record")</f>
        <v/>
      </c>
      <c r="AT336">
        <f>HYPERLINK("http://www.worldcat.org/oclc/802031","WorldCat Record")</f>
        <v/>
      </c>
      <c r="AU336" t="inlineStr">
        <is>
          <t>4924721893:ger</t>
        </is>
      </c>
      <c r="AV336" t="inlineStr">
        <is>
          <t>802031</t>
        </is>
      </c>
      <c r="AW336" t="inlineStr">
        <is>
          <t>991005356889702656</t>
        </is>
      </c>
      <c r="AX336" t="inlineStr">
        <is>
          <t>991005356889702656</t>
        </is>
      </c>
      <c r="AY336" t="inlineStr">
        <is>
          <t>2270552310002656</t>
        </is>
      </c>
      <c r="AZ336" t="inlineStr">
        <is>
          <t>BOOK</t>
        </is>
      </c>
      <c r="BC336" t="inlineStr">
        <is>
          <t>32285002791829</t>
        </is>
      </c>
      <c r="BD336" t="inlineStr">
        <is>
          <t>893514540</t>
        </is>
      </c>
    </row>
    <row r="337">
      <c r="A337" t="inlineStr">
        <is>
          <t>No</t>
        </is>
      </c>
      <c r="B337" t="inlineStr">
        <is>
          <t>QD151 .G52 NO. 59 SUPP. A PT. 1A SECT.3-</t>
        </is>
      </c>
      <c r="C337" t="inlineStr">
        <is>
          <t>0                      QD 0151000G  52                                                      NO. 59 SUPP. A PT. 1A SECT.3-</t>
        </is>
      </c>
      <c r="D337" t="inlineStr">
        <is>
          <t>Gmelins Handbuch der anorganischen chemie.</t>
        </is>
      </c>
      <c r="E337" t="inlineStr">
        <is>
          <t>NO. 59 SUPP. A PT. 1A SECT.3-*</t>
        </is>
      </c>
      <c r="F337" t="inlineStr">
        <is>
          <t>Yes</t>
        </is>
      </c>
      <c r="G337" t="inlineStr">
        <is>
          <t>1</t>
        </is>
      </c>
      <c r="H337" t="inlineStr">
        <is>
          <t>No</t>
        </is>
      </c>
      <c r="I337" t="inlineStr">
        <is>
          <t>No</t>
        </is>
      </c>
      <c r="J337" t="inlineStr">
        <is>
          <t>0</t>
        </is>
      </c>
      <c r="L337" t="inlineStr">
        <is>
          <t>Leipzig-Berlin, Verlag Chemie g.m.b.h., 1924-</t>
        </is>
      </c>
      <c r="M337" t="inlineStr">
        <is>
          <t>1924</t>
        </is>
      </c>
      <c r="N337" t="inlineStr">
        <is>
          <t>8. aufl. Hrsg. von der Deutschen chemischen gesellschaft, bearb. von R.J. Meyer, unter beratender mitwirkung von Franz Peters.</t>
        </is>
      </c>
      <c r="O337" t="inlineStr">
        <is>
          <t>ger</t>
        </is>
      </c>
      <c r="P337" t="inlineStr">
        <is>
          <t xml:space="preserve">xx </t>
        </is>
      </c>
      <c r="R337" t="inlineStr">
        <is>
          <t xml:space="preserve">QD </t>
        </is>
      </c>
      <c r="S337" t="n">
        <v>1</v>
      </c>
      <c r="T337" t="n">
        <v>324</v>
      </c>
      <c r="U337" t="inlineStr">
        <is>
          <t>1998-07-27</t>
        </is>
      </c>
      <c r="V337" t="inlineStr">
        <is>
          <t>1998-07-28</t>
        </is>
      </c>
      <c r="W337" t="inlineStr">
        <is>
          <t>1997-06-09</t>
        </is>
      </c>
      <c r="X337" t="inlineStr">
        <is>
          <t>1998-06-24</t>
        </is>
      </c>
      <c r="Y337" t="n">
        <v>259</v>
      </c>
      <c r="Z337" t="n">
        <v>221</v>
      </c>
      <c r="AA337" t="n">
        <v>223</v>
      </c>
      <c r="AB337" t="n">
        <v>2</v>
      </c>
      <c r="AC337" t="n">
        <v>2</v>
      </c>
      <c r="AD337" t="n">
        <v>10</v>
      </c>
      <c r="AE337" t="n">
        <v>10</v>
      </c>
      <c r="AF337" t="n">
        <v>2</v>
      </c>
      <c r="AG337" t="n">
        <v>2</v>
      </c>
      <c r="AH337" t="n">
        <v>2</v>
      </c>
      <c r="AI337" t="n">
        <v>2</v>
      </c>
      <c r="AJ337" t="n">
        <v>8</v>
      </c>
      <c r="AK337" t="n">
        <v>8</v>
      </c>
      <c r="AL337" t="n">
        <v>1</v>
      </c>
      <c r="AM337" t="n">
        <v>1</v>
      </c>
      <c r="AN337" t="n">
        <v>0</v>
      </c>
      <c r="AO337" t="n">
        <v>0</v>
      </c>
      <c r="AP337" t="inlineStr">
        <is>
          <t>No</t>
        </is>
      </c>
      <c r="AQ337" t="inlineStr">
        <is>
          <t>Yes</t>
        </is>
      </c>
      <c r="AR337">
        <f>HYPERLINK("http://catalog.hathitrust.org/Record/009932175","HathiTrust Record")</f>
        <v/>
      </c>
      <c r="AS337">
        <f>HYPERLINK("https://creighton-primo.hosted.exlibrisgroup.com/primo-explore/search?tab=default_tab&amp;search_scope=EVERYTHING&amp;vid=01CRU&amp;lang=en_US&amp;offset=0&amp;query=any,contains,991005356889702656","Catalog Record")</f>
        <v/>
      </c>
      <c r="AT337">
        <f>HYPERLINK("http://www.worldcat.org/oclc/802031","WorldCat Record")</f>
        <v/>
      </c>
      <c r="AU337" t="inlineStr">
        <is>
          <t>4924721893:ger</t>
        </is>
      </c>
      <c r="AV337" t="inlineStr">
        <is>
          <t>802031</t>
        </is>
      </c>
      <c r="AW337" t="inlineStr">
        <is>
          <t>991005356889702656</t>
        </is>
      </c>
      <c r="AX337" t="inlineStr">
        <is>
          <t>991005356889702656</t>
        </is>
      </c>
      <c r="AY337" t="inlineStr">
        <is>
          <t>2270552310002656</t>
        </is>
      </c>
      <c r="AZ337" t="inlineStr">
        <is>
          <t>BOOK</t>
        </is>
      </c>
      <c r="BC337" t="inlineStr">
        <is>
          <t>32285002791605</t>
        </is>
      </c>
      <c r="BD337" t="inlineStr">
        <is>
          <t>893520976</t>
        </is>
      </c>
    </row>
    <row r="338">
      <c r="A338" t="inlineStr">
        <is>
          <t>No</t>
        </is>
      </c>
      <c r="B338" t="inlineStr">
        <is>
          <t>QD151 .G52 NO. 59 SUPP. A PT. 1B SECT.3-</t>
        </is>
      </c>
      <c r="C338" t="inlineStr">
        <is>
          <t>0                      QD 0151000G  52                                                      NO. 59 SUPP. A PT. 1B SECT.3-</t>
        </is>
      </c>
      <c r="D338" t="inlineStr">
        <is>
          <t>Gmelins Handbuch der anorganischen chemie.</t>
        </is>
      </c>
      <c r="E338" t="inlineStr">
        <is>
          <t>NO. 59 SUPP. A PT. 1B SECT.3-*</t>
        </is>
      </c>
      <c r="F338" t="inlineStr">
        <is>
          <t>Yes</t>
        </is>
      </c>
      <c r="G338" t="inlineStr">
        <is>
          <t>1</t>
        </is>
      </c>
      <c r="H338" t="inlineStr">
        <is>
          <t>No</t>
        </is>
      </c>
      <c r="I338" t="inlineStr">
        <is>
          <t>No</t>
        </is>
      </c>
      <c r="J338" t="inlineStr">
        <is>
          <t>0</t>
        </is>
      </c>
      <c r="L338" t="inlineStr">
        <is>
          <t>Leipzig-Berlin, Verlag Chemie g.m.b.h., 1924-</t>
        </is>
      </c>
      <c r="M338" t="inlineStr">
        <is>
          <t>1924</t>
        </is>
      </c>
      <c r="N338" t="inlineStr">
        <is>
          <t>8. aufl. Hrsg. von der Deutschen chemischen gesellschaft, bearb. von R.J. Meyer, unter beratender mitwirkung von Franz Peters.</t>
        </is>
      </c>
      <c r="O338" t="inlineStr">
        <is>
          <t>ger</t>
        </is>
      </c>
      <c r="P338" t="inlineStr">
        <is>
          <t xml:space="preserve">xx </t>
        </is>
      </c>
      <c r="R338" t="inlineStr">
        <is>
          <t xml:space="preserve">QD </t>
        </is>
      </c>
      <c r="S338" t="n">
        <v>1</v>
      </c>
      <c r="T338" t="n">
        <v>324</v>
      </c>
      <c r="U338" t="inlineStr">
        <is>
          <t>1998-07-27</t>
        </is>
      </c>
      <c r="V338" t="inlineStr">
        <is>
          <t>1998-07-28</t>
        </is>
      </c>
      <c r="W338" t="inlineStr">
        <is>
          <t>1997-06-09</t>
        </is>
      </c>
      <c r="X338" t="inlineStr">
        <is>
          <t>1998-06-24</t>
        </is>
      </c>
      <c r="Y338" t="n">
        <v>259</v>
      </c>
      <c r="Z338" t="n">
        <v>221</v>
      </c>
      <c r="AA338" t="n">
        <v>223</v>
      </c>
      <c r="AB338" t="n">
        <v>2</v>
      </c>
      <c r="AC338" t="n">
        <v>2</v>
      </c>
      <c r="AD338" t="n">
        <v>10</v>
      </c>
      <c r="AE338" t="n">
        <v>10</v>
      </c>
      <c r="AF338" t="n">
        <v>2</v>
      </c>
      <c r="AG338" t="n">
        <v>2</v>
      </c>
      <c r="AH338" t="n">
        <v>2</v>
      </c>
      <c r="AI338" t="n">
        <v>2</v>
      </c>
      <c r="AJ338" t="n">
        <v>8</v>
      </c>
      <c r="AK338" t="n">
        <v>8</v>
      </c>
      <c r="AL338" t="n">
        <v>1</v>
      </c>
      <c r="AM338" t="n">
        <v>1</v>
      </c>
      <c r="AN338" t="n">
        <v>0</v>
      </c>
      <c r="AO338" t="n">
        <v>0</v>
      </c>
      <c r="AP338" t="inlineStr">
        <is>
          <t>No</t>
        </is>
      </c>
      <c r="AQ338" t="inlineStr">
        <is>
          <t>Yes</t>
        </is>
      </c>
      <c r="AR338">
        <f>HYPERLINK("http://catalog.hathitrust.org/Record/009932175","HathiTrust Record")</f>
        <v/>
      </c>
      <c r="AS338">
        <f>HYPERLINK("https://creighton-primo.hosted.exlibrisgroup.com/primo-explore/search?tab=default_tab&amp;search_scope=EVERYTHING&amp;vid=01CRU&amp;lang=en_US&amp;offset=0&amp;query=any,contains,991005356889702656","Catalog Record")</f>
        <v/>
      </c>
      <c r="AT338">
        <f>HYPERLINK("http://www.worldcat.org/oclc/802031","WorldCat Record")</f>
        <v/>
      </c>
      <c r="AU338" t="inlineStr">
        <is>
          <t>4924721893:ger</t>
        </is>
      </c>
      <c r="AV338" t="inlineStr">
        <is>
          <t>802031</t>
        </is>
      </c>
      <c r="AW338" t="inlineStr">
        <is>
          <t>991005356889702656</t>
        </is>
      </c>
      <c r="AX338" t="inlineStr">
        <is>
          <t>991005356889702656</t>
        </is>
      </c>
      <c r="AY338" t="inlineStr">
        <is>
          <t>2270552310002656</t>
        </is>
      </c>
      <c r="AZ338" t="inlineStr">
        <is>
          <t>BOOK</t>
        </is>
      </c>
      <c r="BC338" t="inlineStr">
        <is>
          <t>32285002791613</t>
        </is>
      </c>
      <c r="BD338" t="inlineStr">
        <is>
          <t>893533618</t>
        </is>
      </c>
    </row>
    <row r="339">
      <c r="A339" t="inlineStr">
        <is>
          <t>No</t>
        </is>
      </c>
      <c r="B339" t="inlineStr">
        <is>
          <t>QD151 .G52 NO. 59 SUPP. A PT. 2A SECT.3-</t>
        </is>
      </c>
      <c r="C339" t="inlineStr">
        <is>
          <t>0                      QD 0151000G  52                                                      NO. 59 SUPP. A PT. 2A SECT.3-</t>
        </is>
      </c>
      <c r="D339" t="inlineStr">
        <is>
          <t>Gmelins Handbuch der anorganischen chemie.</t>
        </is>
      </c>
      <c r="E339" t="inlineStr">
        <is>
          <t>NO. 59 SUPP. A PT. 2A SECT.3-*</t>
        </is>
      </c>
      <c r="F339" t="inlineStr">
        <is>
          <t>Yes</t>
        </is>
      </c>
      <c r="G339" t="inlineStr">
        <is>
          <t>1</t>
        </is>
      </c>
      <c r="H339" t="inlineStr">
        <is>
          <t>No</t>
        </is>
      </c>
      <c r="I339" t="inlineStr">
        <is>
          <t>No</t>
        </is>
      </c>
      <c r="J339" t="inlineStr">
        <is>
          <t>0</t>
        </is>
      </c>
      <c r="L339" t="inlineStr">
        <is>
          <t>Leipzig-Berlin, Verlag Chemie g.m.b.h., 1924-</t>
        </is>
      </c>
      <c r="M339" t="inlineStr">
        <is>
          <t>1924</t>
        </is>
      </c>
      <c r="N339" t="inlineStr">
        <is>
          <t>8. aufl. Hrsg. von der Deutschen chemischen gesellschaft, bearb. von R.J. Meyer, unter beratender mitwirkung von Franz Peters.</t>
        </is>
      </c>
      <c r="O339" t="inlineStr">
        <is>
          <t>ger</t>
        </is>
      </c>
      <c r="P339" t="inlineStr">
        <is>
          <t xml:space="preserve">xx </t>
        </is>
      </c>
      <c r="R339" t="inlineStr">
        <is>
          <t xml:space="preserve">QD </t>
        </is>
      </c>
      <c r="S339" t="n">
        <v>1</v>
      </c>
      <c r="T339" t="n">
        <v>324</v>
      </c>
      <c r="U339" t="inlineStr">
        <is>
          <t>1998-07-27</t>
        </is>
      </c>
      <c r="V339" t="inlineStr">
        <is>
          <t>1998-07-28</t>
        </is>
      </c>
      <c r="W339" t="inlineStr">
        <is>
          <t>1997-06-09</t>
        </is>
      </c>
      <c r="X339" t="inlineStr">
        <is>
          <t>1998-06-24</t>
        </is>
      </c>
      <c r="Y339" t="n">
        <v>259</v>
      </c>
      <c r="Z339" t="n">
        <v>221</v>
      </c>
      <c r="AA339" t="n">
        <v>223</v>
      </c>
      <c r="AB339" t="n">
        <v>2</v>
      </c>
      <c r="AC339" t="n">
        <v>2</v>
      </c>
      <c r="AD339" t="n">
        <v>10</v>
      </c>
      <c r="AE339" t="n">
        <v>10</v>
      </c>
      <c r="AF339" t="n">
        <v>2</v>
      </c>
      <c r="AG339" t="n">
        <v>2</v>
      </c>
      <c r="AH339" t="n">
        <v>2</v>
      </c>
      <c r="AI339" t="n">
        <v>2</v>
      </c>
      <c r="AJ339" t="n">
        <v>8</v>
      </c>
      <c r="AK339" t="n">
        <v>8</v>
      </c>
      <c r="AL339" t="n">
        <v>1</v>
      </c>
      <c r="AM339" t="n">
        <v>1</v>
      </c>
      <c r="AN339" t="n">
        <v>0</v>
      </c>
      <c r="AO339" t="n">
        <v>0</v>
      </c>
      <c r="AP339" t="inlineStr">
        <is>
          <t>No</t>
        </is>
      </c>
      <c r="AQ339" t="inlineStr">
        <is>
          <t>Yes</t>
        </is>
      </c>
      <c r="AR339">
        <f>HYPERLINK("http://catalog.hathitrust.org/Record/009932175","HathiTrust Record")</f>
        <v/>
      </c>
      <c r="AS339">
        <f>HYPERLINK("https://creighton-primo.hosted.exlibrisgroup.com/primo-explore/search?tab=default_tab&amp;search_scope=EVERYTHING&amp;vid=01CRU&amp;lang=en_US&amp;offset=0&amp;query=any,contains,991005356889702656","Catalog Record")</f>
        <v/>
      </c>
      <c r="AT339">
        <f>HYPERLINK("http://www.worldcat.org/oclc/802031","WorldCat Record")</f>
        <v/>
      </c>
      <c r="AU339" t="inlineStr">
        <is>
          <t>4924721893:ger</t>
        </is>
      </c>
      <c r="AV339" t="inlineStr">
        <is>
          <t>802031</t>
        </is>
      </c>
      <c r="AW339" t="inlineStr">
        <is>
          <t>991005356889702656</t>
        </is>
      </c>
      <c r="AX339" t="inlineStr">
        <is>
          <t>991005356889702656</t>
        </is>
      </c>
      <c r="AY339" t="inlineStr">
        <is>
          <t>2270552310002656</t>
        </is>
      </c>
      <c r="AZ339" t="inlineStr">
        <is>
          <t>BOOK</t>
        </is>
      </c>
      <c r="BC339" t="inlineStr">
        <is>
          <t>32285002791621</t>
        </is>
      </c>
      <c r="BD339" t="inlineStr">
        <is>
          <t>893514539</t>
        </is>
      </c>
    </row>
    <row r="340">
      <c r="A340" t="inlineStr">
        <is>
          <t>No</t>
        </is>
      </c>
      <c r="B340" t="inlineStr">
        <is>
          <t>QD151 .G52 NO. 59 SUPP. A PT.3A SECT.3-5</t>
        </is>
      </c>
      <c r="C340" t="inlineStr">
        <is>
          <t>0                      QD 0151000G  52                                                      NO. 59 SUPP. A PT.3A SECT.3-5</t>
        </is>
      </c>
      <c r="D340" t="inlineStr">
        <is>
          <t>Gmelins Handbuch der anorganischen chemie.</t>
        </is>
      </c>
      <c r="E340" t="inlineStr">
        <is>
          <t>NO. 59 SUPP. A PT.3A SECT.3-5*</t>
        </is>
      </c>
      <c r="F340" t="inlineStr">
        <is>
          <t>Yes</t>
        </is>
      </c>
      <c r="G340" t="inlineStr">
        <is>
          <t>1</t>
        </is>
      </c>
      <c r="H340" t="inlineStr">
        <is>
          <t>No</t>
        </is>
      </c>
      <c r="I340" t="inlineStr">
        <is>
          <t>No</t>
        </is>
      </c>
      <c r="J340" t="inlineStr">
        <is>
          <t>0</t>
        </is>
      </c>
      <c r="L340" t="inlineStr">
        <is>
          <t>Leipzig-Berlin, Verlag Chemie g.m.b.h., 1924-</t>
        </is>
      </c>
      <c r="M340" t="inlineStr">
        <is>
          <t>1924</t>
        </is>
      </c>
      <c r="N340" t="inlineStr">
        <is>
          <t>8. aufl. Hrsg. von der Deutschen chemischen gesellschaft, bearb. von R.J. Meyer, unter beratender mitwirkung von Franz Peters.</t>
        </is>
      </c>
      <c r="O340" t="inlineStr">
        <is>
          <t>ger</t>
        </is>
      </c>
      <c r="P340" t="inlineStr">
        <is>
          <t xml:space="preserve">xx </t>
        </is>
      </c>
      <c r="R340" t="inlineStr">
        <is>
          <t xml:space="preserve">QD </t>
        </is>
      </c>
      <c r="S340" t="n">
        <v>1</v>
      </c>
      <c r="T340" t="n">
        <v>324</v>
      </c>
      <c r="U340" t="inlineStr">
        <is>
          <t>1998-07-27</t>
        </is>
      </c>
      <c r="V340" t="inlineStr">
        <is>
          <t>1998-07-28</t>
        </is>
      </c>
      <c r="W340" t="inlineStr">
        <is>
          <t>1997-06-09</t>
        </is>
      </c>
      <c r="X340" t="inlineStr">
        <is>
          <t>1998-06-24</t>
        </is>
      </c>
      <c r="Y340" t="n">
        <v>259</v>
      </c>
      <c r="Z340" t="n">
        <v>221</v>
      </c>
      <c r="AA340" t="n">
        <v>223</v>
      </c>
      <c r="AB340" t="n">
        <v>2</v>
      </c>
      <c r="AC340" t="n">
        <v>2</v>
      </c>
      <c r="AD340" t="n">
        <v>10</v>
      </c>
      <c r="AE340" t="n">
        <v>10</v>
      </c>
      <c r="AF340" t="n">
        <v>2</v>
      </c>
      <c r="AG340" t="n">
        <v>2</v>
      </c>
      <c r="AH340" t="n">
        <v>2</v>
      </c>
      <c r="AI340" t="n">
        <v>2</v>
      </c>
      <c r="AJ340" t="n">
        <v>8</v>
      </c>
      <c r="AK340" t="n">
        <v>8</v>
      </c>
      <c r="AL340" t="n">
        <v>1</v>
      </c>
      <c r="AM340" t="n">
        <v>1</v>
      </c>
      <c r="AN340" t="n">
        <v>0</v>
      </c>
      <c r="AO340" t="n">
        <v>0</v>
      </c>
      <c r="AP340" t="inlineStr">
        <is>
          <t>No</t>
        </is>
      </c>
      <c r="AQ340" t="inlineStr">
        <is>
          <t>Yes</t>
        </is>
      </c>
      <c r="AR340">
        <f>HYPERLINK("http://catalog.hathitrust.org/Record/009932175","HathiTrust Record")</f>
        <v/>
      </c>
      <c r="AS340">
        <f>HYPERLINK("https://creighton-primo.hosted.exlibrisgroup.com/primo-explore/search?tab=default_tab&amp;search_scope=EVERYTHING&amp;vid=01CRU&amp;lang=en_US&amp;offset=0&amp;query=any,contains,991005356889702656","Catalog Record")</f>
        <v/>
      </c>
      <c r="AT340">
        <f>HYPERLINK("http://www.worldcat.org/oclc/802031","WorldCat Record")</f>
        <v/>
      </c>
      <c r="AU340" t="inlineStr">
        <is>
          <t>4924721893:ger</t>
        </is>
      </c>
      <c r="AV340" t="inlineStr">
        <is>
          <t>802031</t>
        </is>
      </c>
      <c r="AW340" t="inlineStr">
        <is>
          <t>991005356889702656</t>
        </is>
      </c>
      <c r="AX340" t="inlineStr">
        <is>
          <t>991005356889702656</t>
        </is>
      </c>
      <c r="AY340" t="inlineStr">
        <is>
          <t>2270552310002656</t>
        </is>
      </c>
      <c r="AZ340" t="inlineStr">
        <is>
          <t>BOOK</t>
        </is>
      </c>
      <c r="BC340" t="inlineStr">
        <is>
          <t>32285002791647</t>
        </is>
      </c>
      <c r="BD340" t="inlineStr">
        <is>
          <t>893514538</t>
        </is>
      </c>
    </row>
    <row r="341">
      <c r="A341" t="inlineStr">
        <is>
          <t>No</t>
        </is>
      </c>
      <c r="B341" t="inlineStr">
        <is>
          <t>QD151 .G52 NO. 59 SUPP. A PT.3B SECT.3-5</t>
        </is>
      </c>
      <c r="C341" t="inlineStr">
        <is>
          <t>0                      QD 0151000G  52                                                      NO. 59 SUPP. A PT.3B SECT.3-5</t>
        </is>
      </c>
      <c r="D341" t="inlineStr">
        <is>
          <t>Gmelins Handbuch der anorganischen chemie.</t>
        </is>
      </c>
      <c r="E341" t="inlineStr">
        <is>
          <t>NO. 59 SUPP. A PT.3B SECT.3-5*</t>
        </is>
      </c>
      <c r="F341" t="inlineStr">
        <is>
          <t>Yes</t>
        </is>
      </c>
      <c r="G341" t="inlineStr">
        <is>
          <t>1</t>
        </is>
      </c>
      <c r="H341" t="inlineStr">
        <is>
          <t>No</t>
        </is>
      </c>
      <c r="I341" t="inlineStr">
        <is>
          <t>No</t>
        </is>
      </c>
      <c r="J341" t="inlineStr">
        <is>
          <t>0</t>
        </is>
      </c>
      <c r="L341" t="inlineStr">
        <is>
          <t>Leipzig-Berlin, Verlag Chemie g.m.b.h., 1924-</t>
        </is>
      </c>
      <c r="M341" t="inlineStr">
        <is>
          <t>1924</t>
        </is>
      </c>
      <c r="N341" t="inlineStr">
        <is>
          <t>8. aufl. Hrsg. von der Deutschen chemischen gesellschaft, bearb. von R.J. Meyer, unter beratender mitwirkung von Franz Peters.</t>
        </is>
      </c>
      <c r="O341" t="inlineStr">
        <is>
          <t>ger</t>
        </is>
      </c>
      <c r="P341" t="inlineStr">
        <is>
          <t xml:space="preserve">xx </t>
        </is>
      </c>
      <c r="R341" t="inlineStr">
        <is>
          <t xml:space="preserve">QD </t>
        </is>
      </c>
      <c r="S341" t="n">
        <v>1</v>
      </c>
      <c r="T341" t="n">
        <v>324</v>
      </c>
      <c r="U341" t="inlineStr">
        <is>
          <t>1998-07-27</t>
        </is>
      </c>
      <c r="V341" t="inlineStr">
        <is>
          <t>1998-07-28</t>
        </is>
      </c>
      <c r="W341" t="inlineStr">
        <is>
          <t>1997-06-09</t>
        </is>
      </c>
      <c r="X341" t="inlineStr">
        <is>
          <t>1998-06-24</t>
        </is>
      </c>
      <c r="Y341" t="n">
        <v>259</v>
      </c>
      <c r="Z341" t="n">
        <v>221</v>
      </c>
      <c r="AA341" t="n">
        <v>223</v>
      </c>
      <c r="AB341" t="n">
        <v>2</v>
      </c>
      <c r="AC341" t="n">
        <v>2</v>
      </c>
      <c r="AD341" t="n">
        <v>10</v>
      </c>
      <c r="AE341" t="n">
        <v>10</v>
      </c>
      <c r="AF341" t="n">
        <v>2</v>
      </c>
      <c r="AG341" t="n">
        <v>2</v>
      </c>
      <c r="AH341" t="n">
        <v>2</v>
      </c>
      <c r="AI341" t="n">
        <v>2</v>
      </c>
      <c r="AJ341" t="n">
        <v>8</v>
      </c>
      <c r="AK341" t="n">
        <v>8</v>
      </c>
      <c r="AL341" t="n">
        <v>1</v>
      </c>
      <c r="AM341" t="n">
        <v>1</v>
      </c>
      <c r="AN341" t="n">
        <v>0</v>
      </c>
      <c r="AO341" t="n">
        <v>0</v>
      </c>
      <c r="AP341" t="inlineStr">
        <is>
          <t>No</t>
        </is>
      </c>
      <c r="AQ341" t="inlineStr">
        <is>
          <t>Yes</t>
        </is>
      </c>
      <c r="AR341">
        <f>HYPERLINK("http://catalog.hathitrust.org/Record/009932175","HathiTrust Record")</f>
        <v/>
      </c>
      <c r="AS341">
        <f>HYPERLINK("https://creighton-primo.hosted.exlibrisgroup.com/primo-explore/search?tab=default_tab&amp;search_scope=EVERYTHING&amp;vid=01CRU&amp;lang=en_US&amp;offset=0&amp;query=any,contains,991005356889702656","Catalog Record")</f>
        <v/>
      </c>
      <c r="AT341">
        <f>HYPERLINK("http://www.worldcat.org/oclc/802031","WorldCat Record")</f>
        <v/>
      </c>
      <c r="AU341" t="inlineStr">
        <is>
          <t>4924721893:ger</t>
        </is>
      </c>
      <c r="AV341" t="inlineStr">
        <is>
          <t>802031</t>
        </is>
      </c>
      <c r="AW341" t="inlineStr">
        <is>
          <t>991005356889702656</t>
        </is>
      </c>
      <c r="AX341" t="inlineStr">
        <is>
          <t>991005356889702656</t>
        </is>
      </c>
      <c r="AY341" t="inlineStr">
        <is>
          <t>2270552310002656</t>
        </is>
      </c>
      <c r="AZ341" t="inlineStr">
        <is>
          <t>BOOK</t>
        </is>
      </c>
      <c r="BC341" t="inlineStr">
        <is>
          <t>32285002791654</t>
        </is>
      </c>
      <c r="BD341" t="inlineStr">
        <is>
          <t>893520941</t>
        </is>
      </c>
    </row>
    <row r="342">
      <c r="A342" t="inlineStr">
        <is>
          <t>No</t>
        </is>
      </c>
      <c r="B342" t="inlineStr">
        <is>
          <t>QD151 .G52 NO. 59 SUPP. A PT.4A SECT.3-5</t>
        </is>
      </c>
      <c r="C342" t="inlineStr">
        <is>
          <t>0                      QD 0151000G  52                                                      NO. 59 SUPP. A PT.4A SECT.3-5</t>
        </is>
      </c>
      <c r="D342" t="inlineStr">
        <is>
          <t>Gmelins Handbuch der anorganischen chemie.</t>
        </is>
      </c>
      <c r="E342" t="inlineStr">
        <is>
          <t>NO. 59 SUPP. A PT.4A SECT.3-5*</t>
        </is>
      </c>
      <c r="F342" t="inlineStr">
        <is>
          <t>Yes</t>
        </is>
      </c>
      <c r="G342" t="inlineStr">
        <is>
          <t>1</t>
        </is>
      </c>
      <c r="H342" t="inlineStr">
        <is>
          <t>No</t>
        </is>
      </c>
      <c r="I342" t="inlineStr">
        <is>
          <t>No</t>
        </is>
      </c>
      <c r="J342" t="inlineStr">
        <is>
          <t>0</t>
        </is>
      </c>
      <c r="L342" t="inlineStr">
        <is>
          <t>Leipzig-Berlin, Verlag Chemie g.m.b.h., 1924-</t>
        </is>
      </c>
      <c r="M342" t="inlineStr">
        <is>
          <t>1924</t>
        </is>
      </c>
      <c r="N342" t="inlineStr">
        <is>
          <t>8. aufl. Hrsg. von der Deutschen chemischen gesellschaft, bearb. von R.J. Meyer, unter beratender mitwirkung von Franz Peters.</t>
        </is>
      </c>
      <c r="O342" t="inlineStr">
        <is>
          <t>ger</t>
        </is>
      </c>
      <c r="P342" t="inlineStr">
        <is>
          <t xml:space="preserve">xx </t>
        </is>
      </c>
      <c r="R342" t="inlineStr">
        <is>
          <t xml:space="preserve">QD </t>
        </is>
      </c>
      <c r="S342" t="n">
        <v>1</v>
      </c>
      <c r="T342" t="n">
        <v>324</v>
      </c>
      <c r="U342" t="inlineStr">
        <is>
          <t>1998-07-27</t>
        </is>
      </c>
      <c r="V342" t="inlineStr">
        <is>
          <t>1998-07-28</t>
        </is>
      </c>
      <c r="W342" t="inlineStr">
        <is>
          <t>1997-06-09</t>
        </is>
      </c>
      <c r="X342" t="inlineStr">
        <is>
          <t>1998-06-24</t>
        </is>
      </c>
      <c r="Y342" t="n">
        <v>259</v>
      </c>
      <c r="Z342" t="n">
        <v>221</v>
      </c>
      <c r="AA342" t="n">
        <v>223</v>
      </c>
      <c r="AB342" t="n">
        <v>2</v>
      </c>
      <c r="AC342" t="n">
        <v>2</v>
      </c>
      <c r="AD342" t="n">
        <v>10</v>
      </c>
      <c r="AE342" t="n">
        <v>10</v>
      </c>
      <c r="AF342" t="n">
        <v>2</v>
      </c>
      <c r="AG342" t="n">
        <v>2</v>
      </c>
      <c r="AH342" t="n">
        <v>2</v>
      </c>
      <c r="AI342" t="n">
        <v>2</v>
      </c>
      <c r="AJ342" t="n">
        <v>8</v>
      </c>
      <c r="AK342" t="n">
        <v>8</v>
      </c>
      <c r="AL342" t="n">
        <v>1</v>
      </c>
      <c r="AM342" t="n">
        <v>1</v>
      </c>
      <c r="AN342" t="n">
        <v>0</v>
      </c>
      <c r="AO342" t="n">
        <v>0</v>
      </c>
      <c r="AP342" t="inlineStr">
        <is>
          <t>No</t>
        </is>
      </c>
      <c r="AQ342" t="inlineStr">
        <is>
          <t>Yes</t>
        </is>
      </c>
      <c r="AR342">
        <f>HYPERLINK("http://catalog.hathitrust.org/Record/009932175","HathiTrust Record")</f>
        <v/>
      </c>
      <c r="AS342">
        <f>HYPERLINK("https://creighton-primo.hosted.exlibrisgroup.com/primo-explore/search?tab=default_tab&amp;search_scope=EVERYTHING&amp;vid=01CRU&amp;lang=en_US&amp;offset=0&amp;query=any,contains,991005356889702656","Catalog Record")</f>
        <v/>
      </c>
      <c r="AT342">
        <f>HYPERLINK("http://www.worldcat.org/oclc/802031","WorldCat Record")</f>
        <v/>
      </c>
      <c r="AU342" t="inlineStr">
        <is>
          <t>4924721893:ger</t>
        </is>
      </c>
      <c r="AV342" t="inlineStr">
        <is>
          <t>802031</t>
        </is>
      </c>
      <c r="AW342" t="inlineStr">
        <is>
          <t>991005356889702656</t>
        </is>
      </c>
      <c r="AX342" t="inlineStr">
        <is>
          <t>991005356889702656</t>
        </is>
      </c>
      <c r="AY342" t="inlineStr">
        <is>
          <t>2270552310002656</t>
        </is>
      </c>
      <c r="AZ342" t="inlineStr">
        <is>
          <t>BOOK</t>
        </is>
      </c>
      <c r="BC342" t="inlineStr">
        <is>
          <t>32285002791662</t>
        </is>
      </c>
      <c r="BD342" t="inlineStr">
        <is>
          <t>893514511</t>
        </is>
      </c>
    </row>
    <row r="343">
      <c r="A343" t="inlineStr">
        <is>
          <t>No</t>
        </is>
      </c>
      <c r="B343" t="inlineStr">
        <is>
          <t>QD151 .G52 NO. 59 SUPP. A PT.4B SECT.3-5</t>
        </is>
      </c>
      <c r="C343" t="inlineStr">
        <is>
          <t>0                      QD 0151000G  52                                                      NO. 59 SUPP. A PT.4B SECT.3-5</t>
        </is>
      </c>
      <c r="D343" t="inlineStr">
        <is>
          <t>Gmelins Handbuch der anorganischen chemie.</t>
        </is>
      </c>
      <c r="E343" t="inlineStr">
        <is>
          <t>NO. 59 SUPP. A PT.4B SECT.3-5*</t>
        </is>
      </c>
      <c r="F343" t="inlineStr">
        <is>
          <t>Yes</t>
        </is>
      </c>
      <c r="G343" t="inlineStr">
        <is>
          <t>1</t>
        </is>
      </c>
      <c r="H343" t="inlineStr">
        <is>
          <t>No</t>
        </is>
      </c>
      <c r="I343" t="inlineStr">
        <is>
          <t>No</t>
        </is>
      </c>
      <c r="J343" t="inlineStr">
        <is>
          <t>0</t>
        </is>
      </c>
      <c r="L343" t="inlineStr">
        <is>
          <t>Leipzig-Berlin, Verlag Chemie g.m.b.h., 1924-</t>
        </is>
      </c>
      <c r="M343" t="inlineStr">
        <is>
          <t>1924</t>
        </is>
      </c>
      <c r="N343" t="inlineStr">
        <is>
          <t>8. aufl. Hrsg. von der Deutschen chemischen gesellschaft, bearb. von R.J. Meyer, unter beratender mitwirkung von Franz Peters.</t>
        </is>
      </c>
      <c r="O343" t="inlineStr">
        <is>
          <t>ger</t>
        </is>
      </c>
      <c r="P343" t="inlineStr">
        <is>
          <t xml:space="preserve">xx </t>
        </is>
      </c>
      <c r="R343" t="inlineStr">
        <is>
          <t xml:space="preserve">QD </t>
        </is>
      </c>
      <c r="S343" t="n">
        <v>1</v>
      </c>
      <c r="T343" t="n">
        <v>324</v>
      </c>
      <c r="U343" t="inlineStr">
        <is>
          <t>1998-07-27</t>
        </is>
      </c>
      <c r="V343" t="inlineStr">
        <is>
          <t>1998-07-28</t>
        </is>
      </c>
      <c r="W343" t="inlineStr">
        <is>
          <t>1997-06-09</t>
        </is>
      </c>
      <c r="X343" t="inlineStr">
        <is>
          <t>1998-06-24</t>
        </is>
      </c>
      <c r="Y343" t="n">
        <v>259</v>
      </c>
      <c r="Z343" t="n">
        <v>221</v>
      </c>
      <c r="AA343" t="n">
        <v>223</v>
      </c>
      <c r="AB343" t="n">
        <v>2</v>
      </c>
      <c r="AC343" t="n">
        <v>2</v>
      </c>
      <c r="AD343" t="n">
        <v>10</v>
      </c>
      <c r="AE343" t="n">
        <v>10</v>
      </c>
      <c r="AF343" t="n">
        <v>2</v>
      </c>
      <c r="AG343" t="n">
        <v>2</v>
      </c>
      <c r="AH343" t="n">
        <v>2</v>
      </c>
      <c r="AI343" t="n">
        <v>2</v>
      </c>
      <c r="AJ343" t="n">
        <v>8</v>
      </c>
      <c r="AK343" t="n">
        <v>8</v>
      </c>
      <c r="AL343" t="n">
        <v>1</v>
      </c>
      <c r="AM343" t="n">
        <v>1</v>
      </c>
      <c r="AN343" t="n">
        <v>0</v>
      </c>
      <c r="AO343" t="n">
        <v>0</v>
      </c>
      <c r="AP343" t="inlineStr">
        <is>
          <t>No</t>
        </is>
      </c>
      <c r="AQ343" t="inlineStr">
        <is>
          <t>Yes</t>
        </is>
      </c>
      <c r="AR343">
        <f>HYPERLINK("http://catalog.hathitrust.org/Record/009932175","HathiTrust Record")</f>
        <v/>
      </c>
      <c r="AS343">
        <f>HYPERLINK("https://creighton-primo.hosted.exlibrisgroup.com/primo-explore/search?tab=default_tab&amp;search_scope=EVERYTHING&amp;vid=01CRU&amp;lang=en_US&amp;offset=0&amp;query=any,contains,991005356889702656","Catalog Record")</f>
        <v/>
      </c>
      <c r="AT343">
        <f>HYPERLINK("http://www.worldcat.org/oclc/802031","WorldCat Record")</f>
        <v/>
      </c>
      <c r="AU343" t="inlineStr">
        <is>
          <t>4924721893:ger</t>
        </is>
      </c>
      <c r="AV343" t="inlineStr">
        <is>
          <t>802031</t>
        </is>
      </c>
      <c r="AW343" t="inlineStr">
        <is>
          <t>991005356889702656</t>
        </is>
      </c>
      <c r="AX343" t="inlineStr">
        <is>
          <t>991005356889702656</t>
        </is>
      </c>
      <c r="AY343" t="inlineStr">
        <is>
          <t>2270552310002656</t>
        </is>
      </c>
      <c r="AZ343" t="inlineStr">
        <is>
          <t>BOOK</t>
        </is>
      </c>
      <c r="BC343" t="inlineStr">
        <is>
          <t>32285002791670</t>
        </is>
      </c>
      <c r="BD343" t="inlineStr">
        <is>
          <t>893527439</t>
        </is>
      </c>
    </row>
    <row r="344">
      <c r="A344" t="inlineStr">
        <is>
          <t>No</t>
        </is>
      </c>
      <c r="B344" t="inlineStr">
        <is>
          <t>QD151 .G52 NO. 59 SUPP. A PT.5A SECT.3-5</t>
        </is>
      </c>
      <c r="C344" t="inlineStr">
        <is>
          <t>0                      QD 0151000G  52                                                      NO. 59 SUPP. A PT.5A SECT.3-5</t>
        </is>
      </c>
      <c r="D344" t="inlineStr">
        <is>
          <t>Gmelins Handbuch der anorganischen chemie.</t>
        </is>
      </c>
      <c r="E344" t="inlineStr">
        <is>
          <t>NO. 59 SUPP. A PT.5A SECT.3-5*</t>
        </is>
      </c>
      <c r="F344" t="inlineStr">
        <is>
          <t>Yes</t>
        </is>
      </c>
      <c r="G344" t="inlineStr">
        <is>
          <t>1</t>
        </is>
      </c>
      <c r="H344" t="inlineStr">
        <is>
          <t>No</t>
        </is>
      </c>
      <c r="I344" t="inlineStr">
        <is>
          <t>No</t>
        </is>
      </c>
      <c r="J344" t="inlineStr">
        <is>
          <t>0</t>
        </is>
      </c>
      <c r="L344" t="inlineStr">
        <is>
          <t>Leipzig-Berlin, Verlag Chemie g.m.b.h., 1924-</t>
        </is>
      </c>
      <c r="M344" t="inlineStr">
        <is>
          <t>1924</t>
        </is>
      </c>
      <c r="N344" t="inlineStr">
        <is>
          <t>8. aufl. Hrsg. von der Deutschen chemischen gesellschaft, bearb. von R.J. Meyer, unter beratender mitwirkung von Franz Peters.</t>
        </is>
      </c>
      <c r="O344" t="inlineStr">
        <is>
          <t>ger</t>
        </is>
      </c>
      <c r="P344" t="inlineStr">
        <is>
          <t xml:space="preserve">xx </t>
        </is>
      </c>
      <c r="R344" t="inlineStr">
        <is>
          <t xml:space="preserve">QD </t>
        </is>
      </c>
      <c r="S344" t="n">
        <v>1</v>
      </c>
      <c r="T344" t="n">
        <v>324</v>
      </c>
      <c r="U344" t="inlineStr">
        <is>
          <t>1998-07-27</t>
        </is>
      </c>
      <c r="V344" t="inlineStr">
        <is>
          <t>1998-07-28</t>
        </is>
      </c>
      <c r="W344" t="inlineStr">
        <is>
          <t>1997-06-09</t>
        </is>
      </c>
      <c r="X344" t="inlineStr">
        <is>
          <t>1998-06-24</t>
        </is>
      </c>
      <c r="Y344" t="n">
        <v>259</v>
      </c>
      <c r="Z344" t="n">
        <v>221</v>
      </c>
      <c r="AA344" t="n">
        <v>223</v>
      </c>
      <c r="AB344" t="n">
        <v>2</v>
      </c>
      <c r="AC344" t="n">
        <v>2</v>
      </c>
      <c r="AD344" t="n">
        <v>10</v>
      </c>
      <c r="AE344" t="n">
        <v>10</v>
      </c>
      <c r="AF344" t="n">
        <v>2</v>
      </c>
      <c r="AG344" t="n">
        <v>2</v>
      </c>
      <c r="AH344" t="n">
        <v>2</v>
      </c>
      <c r="AI344" t="n">
        <v>2</v>
      </c>
      <c r="AJ344" t="n">
        <v>8</v>
      </c>
      <c r="AK344" t="n">
        <v>8</v>
      </c>
      <c r="AL344" t="n">
        <v>1</v>
      </c>
      <c r="AM344" t="n">
        <v>1</v>
      </c>
      <c r="AN344" t="n">
        <v>0</v>
      </c>
      <c r="AO344" t="n">
        <v>0</v>
      </c>
      <c r="AP344" t="inlineStr">
        <is>
          <t>No</t>
        </is>
      </c>
      <c r="AQ344" t="inlineStr">
        <is>
          <t>Yes</t>
        </is>
      </c>
      <c r="AR344">
        <f>HYPERLINK("http://catalog.hathitrust.org/Record/009932175","HathiTrust Record")</f>
        <v/>
      </c>
      <c r="AS344">
        <f>HYPERLINK("https://creighton-primo.hosted.exlibrisgroup.com/primo-explore/search?tab=default_tab&amp;search_scope=EVERYTHING&amp;vid=01CRU&amp;lang=en_US&amp;offset=0&amp;query=any,contains,991005356889702656","Catalog Record")</f>
        <v/>
      </c>
      <c r="AT344">
        <f>HYPERLINK("http://www.worldcat.org/oclc/802031","WorldCat Record")</f>
        <v/>
      </c>
      <c r="AU344" t="inlineStr">
        <is>
          <t>4924721893:ger</t>
        </is>
      </c>
      <c r="AV344" t="inlineStr">
        <is>
          <t>802031</t>
        </is>
      </c>
      <c r="AW344" t="inlineStr">
        <is>
          <t>991005356889702656</t>
        </is>
      </c>
      <c r="AX344" t="inlineStr">
        <is>
          <t>991005356889702656</t>
        </is>
      </c>
      <c r="AY344" t="inlineStr">
        <is>
          <t>2270552310002656</t>
        </is>
      </c>
      <c r="AZ344" t="inlineStr">
        <is>
          <t>BOOK</t>
        </is>
      </c>
      <c r="BC344" t="inlineStr">
        <is>
          <t>32285002791688</t>
        </is>
      </c>
      <c r="BD344" t="inlineStr">
        <is>
          <t>893501793</t>
        </is>
      </c>
    </row>
    <row r="345">
      <c r="A345" t="inlineStr">
        <is>
          <t>No</t>
        </is>
      </c>
      <c r="B345" t="inlineStr">
        <is>
          <t>QD151 .G52 NO. 59 SUPP. A PT.6A SECT.3-5</t>
        </is>
      </c>
      <c r="C345" t="inlineStr">
        <is>
          <t>0                      QD 0151000G  52                                                      NO. 59 SUPP. A PT.6A SECT.3-5</t>
        </is>
      </c>
      <c r="D345" t="inlineStr">
        <is>
          <t>Gmelins Handbuch der anorganischen chemie.</t>
        </is>
      </c>
      <c r="E345" t="inlineStr">
        <is>
          <t>NO. 59 SUPP. A PT.6A SECT.3-5*</t>
        </is>
      </c>
      <c r="F345" t="inlineStr">
        <is>
          <t>Yes</t>
        </is>
      </c>
      <c r="G345" t="inlineStr">
        <is>
          <t>1</t>
        </is>
      </c>
      <c r="H345" t="inlineStr">
        <is>
          <t>No</t>
        </is>
      </c>
      <c r="I345" t="inlineStr">
        <is>
          <t>No</t>
        </is>
      </c>
      <c r="J345" t="inlineStr">
        <is>
          <t>0</t>
        </is>
      </c>
      <c r="L345" t="inlineStr">
        <is>
          <t>Leipzig-Berlin, Verlag Chemie g.m.b.h., 1924-</t>
        </is>
      </c>
      <c r="M345" t="inlineStr">
        <is>
          <t>1924</t>
        </is>
      </c>
      <c r="N345" t="inlineStr">
        <is>
          <t>8. aufl. Hrsg. von der Deutschen chemischen gesellschaft, bearb. von R.J. Meyer, unter beratender mitwirkung von Franz Peters.</t>
        </is>
      </c>
      <c r="O345" t="inlineStr">
        <is>
          <t>ger</t>
        </is>
      </c>
      <c r="P345" t="inlineStr">
        <is>
          <t xml:space="preserve">xx </t>
        </is>
      </c>
      <c r="R345" t="inlineStr">
        <is>
          <t xml:space="preserve">QD </t>
        </is>
      </c>
      <c r="S345" t="n">
        <v>1</v>
      </c>
      <c r="T345" t="n">
        <v>324</v>
      </c>
      <c r="U345" t="inlineStr">
        <is>
          <t>1998-07-27</t>
        </is>
      </c>
      <c r="V345" t="inlineStr">
        <is>
          <t>1998-07-28</t>
        </is>
      </c>
      <c r="W345" t="inlineStr">
        <is>
          <t>1997-06-09</t>
        </is>
      </c>
      <c r="X345" t="inlineStr">
        <is>
          <t>1998-06-24</t>
        </is>
      </c>
      <c r="Y345" t="n">
        <v>259</v>
      </c>
      <c r="Z345" t="n">
        <v>221</v>
      </c>
      <c r="AA345" t="n">
        <v>223</v>
      </c>
      <c r="AB345" t="n">
        <v>2</v>
      </c>
      <c r="AC345" t="n">
        <v>2</v>
      </c>
      <c r="AD345" t="n">
        <v>10</v>
      </c>
      <c r="AE345" t="n">
        <v>10</v>
      </c>
      <c r="AF345" t="n">
        <v>2</v>
      </c>
      <c r="AG345" t="n">
        <v>2</v>
      </c>
      <c r="AH345" t="n">
        <v>2</v>
      </c>
      <c r="AI345" t="n">
        <v>2</v>
      </c>
      <c r="AJ345" t="n">
        <v>8</v>
      </c>
      <c r="AK345" t="n">
        <v>8</v>
      </c>
      <c r="AL345" t="n">
        <v>1</v>
      </c>
      <c r="AM345" t="n">
        <v>1</v>
      </c>
      <c r="AN345" t="n">
        <v>0</v>
      </c>
      <c r="AO345" t="n">
        <v>0</v>
      </c>
      <c r="AP345" t="inlineStr">
        <is>
          <t>No</t>
        </is>
      </c>
      <c r="AQ345" t="inlineStr">
        <is>
          <t>Yes</t>
        </is>
      </c>
      <c r="AR345">
        <f>HYPERLINK("http://catalog.hathitrust.org/Record/009932175","HathiTrust Record")</f>
        <v/>
      </c>
      <c r="AS345">
        <f>HYPERLINK("https://creighton-primo.hosted.exlibrisgroup.com/primo-explore/search?tab=default_tab&amp;search_scope=EVERYTHING&amp;vid=01CRU&amp;lang=en_US&amp;offset=0&amp;query=any,contains,991005356889702656","Catalog Record")</f>
        <v/>
      </c>
      <c r="AT345">
        <f>HYPERLINK("http://www.worldcat.org/oclc/802031","WorldCat Record")</f>
        <v/>
      </c>
      <c r="AU345" t="inlineStr">
        <is>
          <t>4924721893:ger</t>
        </is>
      </c>
      <c r="AV345" t="inlineStr">
        <is>
          <t>802031</t>
        </is>
      </c>
      <c r="AW345" t="inlineStr">
        <is>
          <t>991005356889702656</t>
        </is>
      </c>
      <c r="AX345" t="inlineStr">
        <is>
          <t>991005356889702656</t>
        </is>
      </c>
      <c r="AY345" t="inlineStr">
        <is>
          <t>2270552310002656</t>
        </is>
      </c>
      <c r="AZ345" t="inlineStr">
        <is>
          <t>BOOK</t>
        </is>
      </c>
      <c r="BC345" t="inlineStr">
        <is>
          <t>32285002791704</t>
        </is>
      </c>
      <c r="BD345" t="inlineStr">
        <is>
          <t>893501792</t>
        </is>
      </c>
    </row>
    <row r="346">
      <c r="A346" t="inlineStr">
        <is>
          <t>No</t>
        </is>
      </c>
      <c r="B346" t="inlineStr">
        <is>
          <t>QD151 .G52 NO. 59 SUPP.A PT.5B SECT.3-5</t>
        </is>
      </c>
      <c r="C346" t="inlineStr">
        <is>
          <t>0                      QD 0151000G  52                                                      NO. 59 SUPP.A PT.5B SECT.3-5</t>
        </is>
      </c>
      <c r="D346" t="inlineStr">
        <is>
          <t>Gmelins Handbuch der anorganischen chemie.</t>
        </is>
      </c>
      <c r="E346" t="inlineStr">
        <is>
          <t>NO. 59 SUPP.A PT.5B SECT.3-5*</t>
        </is>
      </c>
      <c r="F346" t="inlineStr">
        <is>
          <t>Yes</t>
        </is>
      </c>
      <c r="G346" t="inlineStr">
        <is>
          <t>1</t>
        </is>
      </c>
      <c r="H346" t="inlineStr">
        <is>
          <t>No</t>
        </is>
      </c>
      <c r="I346" t="inlineStr">
        <is>
          <t>No</t>
        </is>
      </c>
      <c r="J346" t="inlineStr">
        <is>
          <t>0</t>
        </is>
      </c>
      <c r="L346" t="inlineStr">
        <is>
          <t>Leipzig-Berlin, Verlag Chemie g.m.b.h., 1924-</t>
        </is>
      </c>
      <c r="M346" t="inlineStr">
        <is>
          <t>1924</t>
        </is>
      </c>
      <c r="N346" t="inlineStr">
        <is>
          <t>8. aufl. Hrsg. von der Deutschen chemischen gesellschaft, bearb. von R.J. Meyer, unter beratender mitwirkung von Franz Peters.</t>
        </is>
      </c>
      <c r="O346" t="inlineStr">
        <is>
          <t>ger</t>
        </is>
      </c>
      <c r="P346" t="inlineStr">
        <is>
          <t xml:space="preserve">xx </t>
        </is>
      </c>
      <c r="R346" t="inlineStr">
        <is>
          <t xml:space="preserve">QD </t>
        </is>
      </c>
      <c r="S346" t="n">
        <v>1</v>
      </c>
      <c r="T346" t="n">
        <v>324</v>
      </c>
      <c r="U346" t="inlineStr">
        <is>
          <t>1998-07-27</t>
        </is>
      </c>
      <c r="V346" t="inlineStr">
        <is>
          <t>1998-07-28</t>
        </is>
      </c>
      <c r="W346" t="inlineStr">
        <is>
          <t>1997-06-09</t>
        </is>
      </c>
      <c r="X346" t="inlineStr">
        <is>
          <t>1998-06-24</t>
        </is>
      </c>
      <c r="Y346" t="n">
        <v>259</v>
      </c>
      <c r="Z346" t="n">
        <v>221</v>
      </c>
      <c r="AA346" t="n">
        <v>223</v>
      </c>
      <c r="AB346" t="n">
        <v>2</v>
      </c>
      <c r="AC346" t="n">
        <v>2</v>
      </c>
      <c r="AD346" t="n">
        <v>10</v>
      </c>
      <c r="AE346" t="n">
        <v>10</v>
      </c>
      <c r="AF346" t="n">
        <v>2</v>
      </c>
      <c r="AG346" t="n">
        <v>2</v>
      </c>
      <c r="AH346" t="n">
        <v>2</v>
      </c>
      <c r="AI346" t="n">
        <v>2</v>
      </c>
      <c r="AJ346" t="n">
        <v>8</v>
      </c>
      <c r="AK346" t="n">
        <v>8</v>
      </c>
      <c r="AL346" t="n">
        <v>1</v>
      </c>
      <c r="AM346" t="n">
        <v>1</v>
      </c>
      <c r="AN346" t="n">
        <v>0</v>
      </c>
      <c r="AO346" t="n">
        <v>0</v>
      </c>
      <c r="AP346" t="inlineStr">
        <is>
          <t>No</t>
        </is>
      </c>
      <c r="AQ346" t="inlineStr">
        <is>
          <t>Yes</t>
        </is>
      </c>
      <c r="AR346">
        <f>HYPERLINK("http://catalog.hathitrust.org/Record/009932175","HathiTrust Record")</f>
        <v/>
      </c>
      <c r="AS346">
        <f>HYPERLINK("https://creighton-primo.hosted.exlibrisgroup.com/primo-explore/search?tab=default_tab&amp;search_scope=EVERYTHING&amp;vid=01CRU&amp;lang=en_US&amp;offset=0&amp;query=any,contains,991005356889702656","Catalog Record")</f>
        <v/>
      </c>
      <c r="AT346">
        <f>HYPERLINK("http://www.worldcat.org/oclc/802031","WorldCat Record")</f>
        <v/>
      </c>
      <c r="AU346" t="inlineStr">
        <is>
          <t>4924721893:ger</t>
        </is>
      </c>
      <c r="AV346" t="inlineStr">
        <is>
          <t>802031</t>
        </is>
      </c>
      <c r="AW346" t="inlineStr">
        <is>
          <t>991005356889702656</t>
        </is>
      </c>
      <c r="AX346" t="inlineStr">
        <is>
          <t>991005356889702656</t>
        </is>
      </c>
      <c r="AY346" t="inlineStr">
        <is>
          <t>2270552310002656</t>
        </is>
      </c>
      <c r="AZ346" t="inlineStr">
        <is>
          <t>BOOK</t>
        </is>
      </c>
      <c r="BC346" t="inlineStr">
        <is>
          <t>32285002791696</t>
        </is>
      </c>
      <c r="BD346" t="inlineStr">
        <is>
          <t>893514510</t>
        </is>
      </c>
    </row>
    <row r="347">
      <c r="A347" t="inlineStr">
        <is>
          <t>No</t>
        </is>
      </c>
      <c r="B347" t="inlineStr">
        <is>
          <t>QD151 .G52 NO. 59 SUPP.A PT.6B SECT.3-5</t>
        </is>
      </c>
      <c r="C347" t="inlineStr">
        <is>
          <t>0                      QD 0151000G  52                                                      NO. 59 SUPP.A PT.6B SECT.3-5</t>
        </is>
      </c>
      <c r="D347" t="inlineStr">
        <is>
          <t>Gmelins Handbuch der anorganischen chemie.</t>
        </is>
      </c>
      <c r="E347" t="inlineStr">
        <is>
          <t>NO. 59 SUPP.A PT.6B SECT.3-5*</t>
        </is>
      </c>
      <c r="F347" t="inlineStr">
        <is>
          <t>Yes</t>
        </is>
      </c>
      <c r="G347" t="inlineStr">
        <is>
          <t>1</t>
        </is>
      </c>
      <c r="H347" t="inlineStr">
        <is>
          <t>No</t>
        </is>
      </c>
      <c r="I347" t="inlineStr">
        <is>
          <t>No</t>
        </is>
      </c>
      <c r="J347" t="inlineStr">
        <is>
          <t>0</t>
        </is>
      </c>
      <c r="L347" t="inlineStr">
        <is>
          <t>Leipzig-Berlin, Verlag Chemie g.m.b.h., 1924-</t>
        </is>
      </c>
      <c r="M347" t="inlineStr">
        <is>
          <t>1924</t>
        </is>
      </c>
      <c r="N347" t="inlineStr">
        <is>
          <t>8. aufl. Hrsg. von der Deutschen chemischen gesellschaft, bearb. von R.J. Meyer, unter beratender mitwirkung von Franz Peters.</t>
        </is>
      </c>
      <c r="O347" t="inlineStr">
        <is>
          <t>ger</t>
        </is>
      </c>
      <c r="P347" t="inlineStr">
        <is>
          <t xml:space="preserve">xx </t>
        </is>
      </c>
      <c r="R347" t="inlineStr">
        <is>
          <t xml:space="preserve">QD </t>
        </is>
      </c>
      <c r="S347" t="n">
        <v>1</v>
      </c>
      <c r="T347" t="n">
        <v>324</v>
      </c>
      <c r="U347" t="inlineStr">
        <is>
          <t>1998-07-27</t>
        </is>
      </c>
      <c r="V347" t="inlineStr">
        <is>
          <t>1998-07-28</t>
        </is>
      </c>
      <c r="W347" t="inlineStr">
        <is>
          <t>1997-06-09</t>
        </is>
      </c>
      <c r="X347" t="inlineStr">
        <is>
          <t>1998-06-24</t>
        </is>
      </c>
      <c r="Y347" t="n">
        <v>259</v>
      </c>
      <c r="Z347" t="n">
        <v>221</v>
      </c>
      <c r="AA347" t="n">
        <v>223</v>
      </c>
      <c r="AB347" t="n">
        <v>2</v>
      </c>
      <c r="AC347" t="n">
        <v>2</v>
      </c>
      <c r="AD347" t="n">
        <v>10</v>
      </c>
      <c r="AE347" t="n">
        <v>10</v>
      </c>
      <c r="AF347" t="n">
        <v>2</v>
      </c>
      <c r="AG347" t="n">
        <v>2</v>
      </c>
      <c r="AH347" t="n">
        <v>2</v>
      </c>
      <c r="AI347" t="n">
        <v>2</v>
      </c>
      <c r="AJ347" t="n">
        <v>8</v>
      </c>
      <c r="AK347" t="n">
        <v>8</v>
      </c>
      <c r="AL347" t="n">
        <v>1</v>
      </c>
      <c r="AM347" t="n">
        <v>1</v>
      </c>
      <c r="AN347" t="n">
        <v>0</v>
      </c>
      <c r="AO347" t="n">
        <v>0</v>
      </c>
      <c r="AP347" t="inlineStr">
        <is>
          <t>No</t>
        </is>
      </c>
      <c r="AQ347" t="inlineStr">
        <is>
          <t>Yes</t>
        </is>
      </c>
      <c r="AR347">
        <f>HYPERLINK("http://catalog.hathitrust.org/Record/009932175","HathiTrust Record")</f>
        <v/>
      </c>
      <c r="AS347">
        <f>HYPERLINK("https://creighton-primo.hosted.exlibrisgroup.com/primo-explore/search?tab=default_tab&amp;search_scope=EVERYTHING&amp;vid=01CRU&amp;lang=en_US&amp;offset=0&amp;query=any,contains,991005356889702656","Catalog Record")</f>
        <v/>
      </c>
      <c r="AT347">
        <f>HYPERLINK("http://www.worldcat.org/oclc/802031","WorldCat Record")</f>
        <v/>
      </c>
      <c r="AU347" t="inlineStr">
        <is>
          <t>4924721893:ger</t>
        </is>
      </c>
      <c r="AV347" t="inlineStr">
        <is>
          <t>802031</t>
        </is>
      </c>
      <c r="AW347" t="inlineStr">
        <is>
          <t>991005356889702656</t>
        </is>
      </c>
      <c r="AX347" t="inlineStr">
        <is>
          <t>991005356889702656</t>
        </is>
      </c>
      <c r="AY347" t="inlineStr">
        <is>
          <t>2270552310002656</t>
        </is>
      </c>
      <c r="AZ347" t="inlineStr">
        <is>
          <t>BOOK</t>
        </is>
      </c>
      <c r="BC347" t="inlineStr">
        <is>
          <t>32285002791712</t>
        </is>
      </c>
      <c r="BD347" t="inlineStr">
        <is>
          <t>893508075</t>
        </is>
      </c>
    </row>
    <row r="348">
      <c r="A348" t="inlineStr">
        <is>
          <t>No</t>
        </is>
      </c>
      <c r="B348" t="inlineStr">
        <is>
          <t>QD151 .G52 NO. 59 SUPP.A PT.B SECT.3-5</t>
        </is>
      </c>
      <c r="C348" t="inlineStr">
        <is>
          <t>0                      QD 0151000G  52                                                      NO. 59 SUPP.A PT.B SECT.3-5</t>
        </is>
      </c>
      <c r="D348" t="inlineStr">
        <is>
          <t>Gmelins Handbuch der anorganischen chemie.</t>
        </is>
      </c>
      <c r="E348" t="inlineStr">
        <is>
          <t>NO. 59 SUPP.A PT.B SECT.3-5*</t>
        </is>
      </c>
      <c r="F348" t="inlineStr">
        <is>
          <t>Yes</t>
        </is>
      </c>
      <c r="G348" t="inlineStr">
        <is>
          <t>1</t>
        </is>
      </c>
      <c r="H348" t="inlineStr">
        <is>
          <t>No</t>
        </is>
      </c>
      <c r="I348" t="inlineStr">
        <is>
          <t>No</t>
        </is>
      </c>
      <c r="J348" t="inlineStr">
        <is>
          <t>0</t>
        </is>
      </c>
      <c r="L348" t="inlineStr">
        <is>
          <t>Leipzig-Berlin, Verlag Chemie g.m.b.h., 1924-</t>
        </is>
      </c>
      <c r="M348" t="inlineStr">
        <is>
          <t>1924</t>
        </is>
      </c>
      <c r="N348" t="inlineStr">
        <is>
          <t>8. aufl. Hrsg. von der Deutschen chemischen gesellschaft, bearb. von R.J. Meyer, unter beratender mitwirkung von Franz Peters.</t>
        </is>
      </c>
      <c r="O348" t="inlineStr">
        <is>
          <t>ger</t>
        </is>
      </c>
      <c r="P348" t="inlineStr">
        <is>
          <t xml:space="preserve">xx </t>
        </is>
      </c>
      <c r="R348" t="inlineStr">
        <is>
          <t xml:space="preserve">QD </t>
        </is>
      </c>
      <c r="S348" t="n">
        <v>1</v>
      </c>
      <c r="T348" t="n">
        <v>324</v>
      </c>
      <c r="U348" t="inlineStr">
        <is>
          <t>1998-07-27</t>
        </is>
      </c>
      <c r="V348" t="inlineStr">
        <is>
          <t>1998-07-28</t>
        </is>
      </c>
      <c r="W348" t="inlineStr">
        <is>
          <t>1997-06-09</t>
        </is>
      </c>
      <c r="X348" t="inlineStr">
        <is>
          <t>1998-06-24</t>
        </is>
      </c>
      <c r="Y348" t="n">
        <v>259</v>
      </c>
      <c r="Z348" t="n">
        <v>221</v>
      </c>
      <c r="AA348" t="n">
        <v>223</v>
      </c>
      <c r="AB348" t="n">
        <v>2</v>
      </c>
      <c r="AC348" t="n">
        <v>2</v>
      </c>
      <c r="AD348" t="n">
        <v>10</v>
      </c>
      <c r="AE348" t="n">
        <v>10</v>
      </c>
      <c r="AF348" t="n">
        <v>2</v>
      </c>
      <c r="AG348" t="n">
        <v>2</v>
      </c>
      <c r="AH348" t="n">
        <v>2</v>
      </c>
      <c r="AI348" t="n">
        <v>2</v>
      </c>
      <c r="AJ348" t="n">
        <v>8</v>
      </c>
      <c r="AK348" t="n">
        <v>8</v>
      </c>
      <c r="AL348" t="n">
        <v>1</v>
      </c>
      <c r="AM348" t="n">
        <v>1</v>
      </c>
      <c r="AN348" t="n">
        <v>0</v>
      </c>
      <c r="AO348" t="n">
        <v>0</v>
      </c>
      <c r="AP348" t="inlineStr">
        <is>
          <t>No</t>
        </is>
      </c>
      <c r="AQ348" t="inlineStr">
        <is>
          <t>Yes</t>
        </is>
      </c>
      <c r="AR348">
        <f>HYPERLINK("http://catalog.hathitrust.org/Record/009932175","HathiTrust Record")</f>
        <v/>
      </c>
      <c r="AS348">
        <f>HYPERLINK("https://creighton-primo.hosted.exlibrisgroup.com/primo-explore/search?tab=default_tab&amp;search_scope=EVERYTHING&amp;vid=01CRU&amp;lang=en_US&amp;offset=0&amp;query=any,contains,991005356889702656","Catalog Record")</f>
        <v/>
      </c>
      <c r="AT348">
        <f>HYPERLINK("http://www.worldcat.org/oclc/802031","WorldCat Record")</f>
        <v/>
      </c>
      <c r="AU348" t="inlineStr">
        <is>
          <t>4924721893:ger</t>
        </is>
      </c>
      <c r="AV348" t="inlineStr">
        <is>
          <t>802031</t>
        </is>
      </c>
      <c r="AW348" t="inlineStr">
        <is>
          <t>991005356889702656</t>
        </is>
      </c>
      <c r="AX348" t="inlineStr">
        <is>
          <t>991005356889702656</t>
        </is>
      </c>
      <c r="AY348" t="inlineStr">
        <is>
          <t>2270552310002656</t>
        </is>
      </c>
      <c r="AZ348" t="inlineStr">
        <is>
          <t>BOOK</t>
        </is>
      </c>
      <c r="BC348" t="inlineStr">
        <is>
          <t>32285002791639</t>
        </is>
      </c>
      <c r="BD348" t="inlineStr">
        <is>
          <t>893527438</t>
        </is>
      </c>
    </row>
    <row r="349">
      <c r="A349" t="inlineStr">
        <is>
          <t>No</t>
        </is>
      </c>
      <c r="B349" t="inlineStr">
        <is>
          <t>QD151 .G52 NO. 6</t>
        </is>
      </c>
      <c r="C349" t="inlineStr">
        <is>
          <t>0                      QD 0151000G  52                                                      NO. 6</t>
        </is>
      </c>
      <c r="D349" t="inlineStr">
        <is>
          <t>Gmelins Handbuch der anorganischen chemie.</t>
        </is>
      </c>
      <c r="E349" t="inlineStr">
        <is>
          <t>NO. 6*</t>
        </is>
      </c>
      <c r="F349" t="inlineStr">
        <is>
          <t>Yes</t>
        </is>
      </c>
      <c r="G349" t="inlineStr">
        <is>
          <t>1</t>
        </is>
      </c>
      <c r="H349" t="inlineStr">
        <is>
          <t>No</t>
        </is>
      </c>
      <c r="I349" t="inlineStr">
        <is>
          <t>No</t>
        </is>
      </c>
      <c r="J349" t="inlineStr">
        <is>
          <t>0</t>
        </is>
      </c>
      <c r="L349" t="inlineStr">
        <is>
          <t>Leipzig-Berlin, Verlag Chemie g.m.b.h., 1924-</t>
        </is>
      </c>
      <c r="M349" t="inlineStr">
        <is>
          <t>1924</t>
        </is>
      </c>
      <c r="N349" t="inlineStr">
        <is>
          <t>8. aufl. Hrsg. von der Deutschen chemischen gesellschaft, bearb. von R.J. Meyer, unter beratender mitwirkung von Franz Peters.</t>
        </is>
      </c>
      <c r="O349" t="inlineStr">
        <is>
          <t>ger</t>
        </is>
      </c>
      <c r="P349" t="inlineStr">
        <is>
          <t xml:space="preserve">xx </t>
        </is>
      </c>
      <c r="R349" t="inlineStr">
        <is>
          <t xml:space="preserve">QD </t>
        </is>
      </c>
      <c r="S349" t="n">
        <v>1</v>
      </c>
      <c r="T349" t="n">
        <v>324</v>
      </c>
      <c r="U349" t="inlineStr">
        <is>
          <t>1998-07-27</t>
        </is>
      </c>
      <c r="V349" t="inlineStr">
        <is>
          <t>1998-07-28</t>
        </is>
      </c>
      <c r="W349" t="inlineStr">
        <is>
          <t>1997-06-02</t>
        </is>
      </c>
      <c r="X349" t="inlineStr">
        <is>
          <t>1998-06-24</t>
        </is>
      </c>
      <c r="Y349" t="n">
        <v>259</v>
      </c>
      <c r="Z349" t="n">
        <v>221</v>
      </c>
      <c r="AA349" t="n">
        <v>223</v>
      </c>
      <c r="AB349" t="n">
        <v>2</v>
      </c>
      <c r="AC349" t="n">
        <v>2</v>
      </c>
      <c r="AD349" t="n">
        <v>10</v>
      </c>
      <c r="AE349" t="n">
        <v>10</v>
      </c>
      <c r="AF349" t="n">
        <v>2</v>
      </c>
      <c r="AG349" t="n">
        <v>2</v>
      </c>
      <c r="AH349" t="n">
        <v>2</v>
      </c>
      <c r="AI349" t="n">
        <v>2</v>
      </c>
      <c r="AJ349" t="n">
        <v>8</v>
      </c>
      <c r="AK349" t="n">
        <v>8</v>
      </c>
      <c r="AL349" t="n">
        <v>1</v>
      </c>
      <c r="AM349" t="n">
        <v>1</v>
      </c>
      <c r="AN349" t="n">
        <v>0</v>
      </c>
      <c r="AO349" t="n">
        <v>0</v>
      </c>
      <c r="AP349" t="inlineStr">
        <is>
          <t>No</t>
        </is>
      </c>
      <c r="AQ349" t="inlineStr">
        <is>
          <t>Yes</t>
        </is>
      </c>
      <c r="AR349">
        <f>HYPERLINK("http://catalog.hathitrust.org/Record/009932175","HathiTrust Record")</f>
        <v/>
      </c>
      <c r="AS349">
        <f>HYPERLINK("https://creighton-primo.hosted.exlibrisgroup.com/primo-explore/search?tab=default_tab&amp;search_scope=EVERYTHING&amp;vid=01CRU&amp;lang=en_US&amp;offset=0&amp;query=any,contains,991005356889702656","Catalog Record")</f>
        <v/>
      </c>
      <c r="AT349">
        <f>HYPERLINK("http://www.worldcat.org/oclc/802031","WorldCat Record")</f>
        <v/>
      </c>
      <c r="AU349" t="inlineStr">
        <is>
          <t>4924721893:ger</t>
        </is>
      </c>
      <c r="AV349" t="inlineStr">
        <is>
          <t>802031</t>
        </is>
      </c>
      <c r="AW349" t="inlineStr">
        <is>
          <t>991005356889702656</t>
        </is>
      </c>
      <c r="AX349" t="inlineStr">
        <is>
          <t>991005356889702656</t>
        </is>
      </c>
      <c r="AY349" t="inlineStr">
        <is>
          <t>2270552310002656</t>
        </is>
      </c>
      <c r="AZ349" t="inlineStr">
        <is>
          <t>BOOK</t>
        </is>
      </c>
      <c r="BC349" t="inlineStr">
        <is>
          <t>32285002779287</t>
        </is>
      </c>
      <c r="BD349" t="inlineStr">
        <is>
          <t>893533617</t>
        </is>
      </c>
    </row>
    <row r="350">
      <c r="A350" t="inlineStr">
        <is>
          <t>No</t>
        </is>
      </c>
      <c r="B350" t="inlineStr">
        <is>
          <t>QD151 .G52 NO. 6 SUPP. A</t>
        </is>
      </c>
      <c r="C350" t="inlineStr">
        <is>
          <t>0                      QD 0151000G  52                                                      NO. 6 SUPP. A</t>
        </is>
      </c>
      <c r="D350" t="inlineStr">
        <is>
          <t>Gmelins Handbuch der anorganischen chemie.</t>
        </is>
      </c>
      <c r="E350" t="inlineStr">
        <is>
          <t>NO. 6 SUPP. A*</t>
        </is>
      </c>
      <c r="F350" t="inlineStr">
        <is>
          <t>Yes</t>
        </is>
      </c>
      <c r="G350" t="inlineStr">
        <is>
          <t>1</t>
        </is>
      </c>
      <c r="H350" t="inlineStr">
        <is>
          <t>No</t>
        </is>
      </c>
      <c r="I350" t="inlineStr">
        <is>
          <t>No</t>
        </is>
      </c>
      <c r="J350" t="inlineStr">
        <is>
          <t>0</t>
        </is>
      </c>
      <c r="L350" t="inlineStr">
        <is>
          <t>Leipzig-Berlin, Verlag Chemie g.m.b.h., 1924-</t>
        </is>
      </c>
      <c r="M350" t="inlineStr">
        <is>
          <t>1924</t>
        </is>
      </c>
      <c r="N350" t="inlineStr">
        <is>
          <t>8. aufl. Hrsg. von der Deutschen chemischen gesellschaft, bearb. von R.J. Meyer, unter beratender mitwirkung von Franz Peters.</t>
        </is>
      </c>
      <c r="O350" t="inlineStr">
        <is>
          <t>ger</t>
        </is>
      </c>
      <c r="P350" t="inlineStr">
        <is>
          <t xml:space="preserve">xx </t>
        </is>
      </c>
      <c r="R350" t="inlineStr">
        <is>
          <t xml:space="preserve">QD </t>
        </is>
      </c>
      <c r="S350" t="n">
        <v>1</v>
      </c>
      <c r="T350" t="n">
        <v>324</v>
      </c>
      <c r="U350" t="inlineStr">
        <is>
          <t>1998-07-27</t>
        </is>
      </c>
      <c r="V350" t="inlineStr">
        <is>
          <t>1998-07-28</t>
        </is>
      </c>
      <c r="W350" t="inlineStr">
        <is>
          <t>1997-06-02</t>
        </is>
      </c>
      <c r="X350" t="inlineStr">
        <is>
          <t>1998-06-24</t>
        </is>
      </c>
      <c r="Y350" t="n">
        <v>259</v>
      </c>
      <c r="Z350" t="n">
        <v>221</v>
      </c>
      <c r="AA350" t="n">
        <v>223</v>
      </c>
      <c r="AB350" t="n">
        <v>2</v>
      </c>
      <c r="AC350" t="n">
        <v>2</v>
      </c>
      <c r="AD350" t="n">
        <v>10</v>
      </c>
      <c r="AE350" t="n">
        <v>10</v>
      </c>
      <c r="AF350" t="n">
        <v>2</v>
      </c>
      <c r="AG350" t="n">
        <v>2</v>
      </c>
      <c r="AH350" t="n">
        <v>2</v>
      </c>
      <c r="AI350" t="n">
        <v>2</v>
      </c>
      <c r="AJ350" t="n">
        <v>8</v>
      </c>
      <c r="AK350" t="n">
        <v>8</v>
      </c>
      <c r="AL350" t="n">
        <v>1</v>
      </c>
      <c r="AM350" t="n">
        <v>1</v>
      </c>
      <c r="AN350" t="n">
        <v>0</v>
      </c>
      <c r="AO350" t="n">
        <v>0</v>
      </c>
      <c r="AP350" t="inlineStr">
        <is>
          <t>No</t>
        </is>
      </c>
      <c r="AQ350" t="inlineStr">
        <is>
          <t>Yes</t>
        </is>
      </c>
      <c r="AR350">
        <f>HYPERLINK("http://catalog.hathitrust.org/Record/009932175","HathiTrust Record")</f>
        <v/>
      </c>
      <c r="AS350">
        <f>HYPERLINK("https://creighton-primo.hosted.exlibrisgroup.com/primo-explore/search?tab=default_tab&amp;search_scope=EVERYTHING&amp;vid=01CRU&amp;lang=en_US&amp;offset=0&amp;query=any,contains,991005356889702656","Catalog Record")</f>
        <v/>
      </c>
      <c r="AT350">
        <f>HYPERLINK("http://www.worldcat.org/oclc/802031","WorldCat Record")</f>
        <v/>
      </c>
      <c r="AU350" t="inlineStr">
        <is>
          <t>4924721893:ger</t>
        </is>
      </c>
      <c r="AV350" t="inlineStr">
        <is>
          <t>802031</t>
        </is>
      </c>
      <c r="AW350" t="inlineStr">
        <is>
          <t>991005356889702656</t>
        </is>
      </c>
      <c r="AX350" t="inlineStr">
        <is>
          <t>991005356889702656</t>
        </is>
      </c>
      <c r="AY350" t="inlineStr">
        <is>
          <t>2270552310002656</t>
        </is>
      </c>
      <c r="AZ350" t="inlineStr">
        <is>
          <t>BOOK</t>
        </is>
      </c>
      <c r="BC350" t="inlineStr">
        <is>
          <t>32285002779295</t>
        </is>
      </c>
      <c r="BD350" t="inlineStr">
        <is>
          <t>893514509</t>
        </is>
      </c>
    </row>
    <row r="351">
      <c r="A351" t="inlineStr">
        <is>
          <t>No</t>
        </is>
      </c>
      <c r="B351" t="inlineStr">
        <is>
          <t>QD151 .G52 NO. 6 SUPP. B1</t>
        </is>
      </c>
      <c r="C351" t="inlineStr">
        <is>
          <t>0                      QD 0151000G  52                                                      NO. 6 SUPP. B1</t>
        </is>
      </c>
      <c r="D351" t="inlineStr">
        <is>
          <t>Gmelins Handbuch der anorganischen chemie.</t>
        </is>
      </c>
      <c r="E351" t="inlineStr">
        <is>
          <t>NO. 6 SUPP. B1*</t>
        </is>
      </c>
      <c r="F351" t="inlineStr">
        <is>
          <t>Yes</t>
        </is>
      </c>
      <c r="G351" t="inlineStr">
        <is>
          <t>1</t>
        </is>
      </c>
      <c r="H351" t="inlineStr">
        <is>
          <t>No</t>
        </is>
      </c>
      <c r="I351" t="inlineStr">
        <is>
          <t>No</t>
        </is>
      </c>
      <c r="J351" t="inlineStr">
        <is>
          <t>0</t>
        </is>
      </c>
      <c r="L351" t="inlineStr">
        <is>
          <t>Leipzig-Berlin, Verlag Chemie g.m.b.h., 1924-</t>
        </is>
      </c>
      <c r="M351" t="inlineStr">
        <is>
          <t>1924</t>
        </is>
      </c>
      <c r="N351" t="inlineStr">
        <is>
          <t>8. aufl. Hrsg. von der Deutschen chemischen gesellschaft, bearb. von R.J. Meyer, unter beratender mitwirkung von Franz Peters.</t>
        </is>
      </c>
      <c r="O351" t="inlineStr">
        <is>
          <t>ger</t>
        </is>
      </c>
      <c r="P351" t="inlineStr">
        <is>
          <t xml:space="preserve">xx </t>
        </is>
      </c>
      <c r="R351" t="inlineStr">
        <is>
          <t xml:space="preserve">QD </t>
        </is>
      </c>
      <c r="S351" t="n">
        <v>1</v>
      </c>
      <c r="T351" t="n">
        <v>324</v>
      </c>
      <c r="U351" t="inlineStr">
        <is>
          <t>1998-07-27</t>
        </is>
      </c>
      <c r="V351" t="inlineStr">
        <is>
          <t>1998-07-28</t>
        </is>
      </c>
      <c r="W351" t="inlineStr">
        <is>
          <t>1997-06-02</t>
        </is>
      </c>
      <c r="X351" t="inlineStr">
        <is>
          <t>1998-06-24</t>
        </is>
      </c>
      <c r="Y351" t="n">
        <v>259</v>
      </c>
      <c r="Z351" t="n">
        <v>221</v>
      </c>
      <c r="AA351" t="n">
        <v>223</v>
      </c>
      <c r="AB351" t="n">
        <v>2</v>
      </c>
      <c r="AC351" t="n">
        <v>2</v>
      </c>
      <c r="AD351" t="n">
        <v>10</v>
      </c>
      <c r="AE351" t="n">
        <v>10</v>
      </c>
      <c r="AF351" t="n">
        <v>2</v>
      </c>
      <c r="AG351" t="n">
        <v>2</v>
      </c>
      <c r="AH351" t="n">
        <v>2</v>
      </c>
      <c r="AI351" t="n">
        <v>2</v>
      </c>
      <c r="AJ351" t="n">
        <v>8</v>
      </c>
      <c r="AK351" t="n">
        <v>8</v>
      </c>
      <c r="AL351" t="n">
        <v>1</v>
      </c>
      <c r="AM351" t="n">
        <v>1</v>
      </c>
      <c r="AN351" t="n">
        <v>0</v>
      </c>
      <c r="AO351" t="n">
        <v>0</v>
      </c>
      <c r="AP351" t="inlineStr">
        <is>
          <t>No</t>
        </is>
      </c>
      <c r="AQ351" t="inlineStr">
        <is>
          <t>Yes</t>
        </is>
      </c>
      <c r="AR351">
        <f>HYPERLINK("http://catalog.hathitrust.org/Record/009932175","HathiTrust Record")</f>
        <v/>
      </c>
      <c r="AS351">
        <f>HYPERLINK("https://creighton-primo.hosted.exlibrisgroup.com/primo-explore/search?tab=default_tab&amp;search_scope=EVERYTHING&amp;vid=01CRU&amp;lang=en_US&amp;offset=0&amp;query=any,contains,991005356889702656","Catalog Record")</f>
        <v/>
      </c>
      <c r="AT351">
        <f>HYPERLINK("http://www.worldcat.org/oclc/802031","WorldCat Record")</f>
        <v/>
      </c>
      <c r="AU351" t="inlineStr">
        <is>
          <t>4924721893:ger</t>
        </is>
      </c>
      <c r="AV351" t="inlineStr">
        <is>
          <t>802031</t>
        </is>
      </c>
      <c r="AW351" t="inlineStr">
        <is>
          <t>991005356889702656</t>
        </is>
      </c>
      <c r="AX351" t="inlineStr">
        <is>
          <t>991005356889702656</t>
        </is>
      </c>
      <c r="AY351" t="inlineStr">
        <is>
          <t>2270552310002656</t>
        </is>
      </c>
      <c r="AZ351" t="inlineStr">
        <is>
          <t>BOOK</t>
        </is>
      </c>
      <c r="BC351" t="inlineStr">
        <is>
          <t>32285002779303</t>
        </is>
      </c>
      <c r="BD351" t="inlineStr">
        <is>
          <t>893508074</t>
        </is>
      </c>
    </row>
    <row r="352">
      <c r="A352" t="inlineStr">
        <is>
          <t>No</t>
        </is>
      </c>
      <c r="B352" t="inlineStr">
        <is>
          <t>QD151 .G52 NO. 6 SUPP. B2</t>
        </is>
      </c>
      <c r="C352" t="inlineStr">
        <is>
          <t>0                      QD 0151000G  52                                                      NO. 6 SUPP. B2</t>
        </is>
      </c>
      <c r="D352" t="inlineStr">
        <is>
          <t>Gmelins Handbuch der anorganischen chemie.</t>
        </is>
      </c>
      <c r="E352" t="inlineStr">
        <is>
          <t>NO. 6 SUPP. B2*</t>
        </is>
      </c>
      <c r="F352" t="inlineStr">
        <is>
          <t>Yes</t>
        </is>
      </c>
      <c r="G352" t="inlineStr">
        <is>
          <t>1</t>
        </is>
      </c>
      <c r="H352" t="inlineStr">
        <is>
          <t>No</t>
        </is>
      </c>
      <c r="I352" t="inlineStr">
        <is>
          <t>No</t>
        </is>
      </c>
      <c r="J352" t="inlineStr">
        <is>
          <t>0</t>
        </is>
      </c>
      <c r="L352" t="inlineStr">
        <is>
          <t>Leipzig-Berlin, Verlag Chemie g.m.b.h., 1924-</t>
        </is>
      </c>
      <c r="M352" t="inlineStr">
        <is>
          <t>1924</t>
        </is>
      </c>
      <c r="N352" t="inlineStr">
        <is>
          <t>8. aufl. Hrsg. von der Deutschen chemischen gesellschaft, bearb. von R.J. Meyer, unter beratender mitwirkung von Franz Peters.</t>
        </is>
      </c>
      <c r="O352" t="inlineStr">
        <is>
          <t>ger</t>
        </is>
      </c>
      <c r="P352" t="inlineStr">
        <is>
          <t xml:space="preserve">xx </t>
        </is>
      </c>
      <c r="R352" t="inlineStr">
        <is>
          <t xml:space="preserve">QD </t>
        </is>
      </c>
      <c r="S352" t="n">
        <v>1</v>
      </c>
      <c r="T352" t="n">
        <v>324</v>
      </c>
      <c r="U352" t="inlineStr">
        <is>
          <t>1998-07-27</t>
        </is>
      </c>
      <c r="V352" t="inlineStr">
        <is>
          <t>1998-07-28</t>
        </is>
      </c>
      <c r="W352" t="inlineStr">
        <is>
          <t>1997-06-02</t>
        </is>
      </c>
      <c r="X352" t="inlineStr">
        <is>
          <t>1998-06-24</t>
        </is>
      </c>
      <c r="Y352" t="n">
        <v>259</v>
      </c>
      <c r="Z352" t="n">
        <v>221</v>
      </c>
      <c r="AA352" t="n">
        <v>223</v>
      </c>
      <c r="AB352" t="n">
        <v>2</v>
      </c>
      <c r="AC352" t="n">
        <v>2</v>
      </c>
      <c r="AD352" t="n">
        <v>10</v>
      </c>
      <c r="AE352" t="n">
        <v>10</v>
      </c>
      <c r="AF352" t="n">
        <v>2</v>
      </c>
      <c r="AG352" t="n">
        <v>2</v>
      </c>
      <c r="AH352" t="n">
        <v>2</v>
      </c>
      <c r="AI352" t="n">
        <v>2</v>
      </c>
      <c r="AJ352" t="n">
        <v>8</v>
      </c>
      <c r="AK352" t="n">
        <v>8</v>
      </c>
      <c r="AL352" t="n">
        <v>1</v>
      </c>
      <c r="AM352" t="n">
        <v>1</v>
      </c>
      <c r="AN352" t="n">
        <v>0</v>
      </c>
      <c r="AO352" t="n">
        <v>0</v>
      </c>
      <c r="AP352" t="inlineStr">
        <is>
          <t>No</t>
        </is>
      </c>
      <c r="AQ352" t="inlineStr">
        <is>
          <t>Yes</t>
        </is>
      </c>
      <c r="AR352">
        <f>HYPERLINK("http://catalog.hathitrust.org/Record/009932175","HathiTrust Record")</f>
        <v/>
      </c>
      <c r="AS352">
        <f>HYPERLINK("https://creighton-primo.hosted.exlibrisgroup.com/primo-explore/search?tab=default_tab&amp;search_scope=EVERYTHING&amp;vid=01CRU&amp;lang=en_US&amp;offset=0&amp;query=any,contains,991005356889702656","Catalog Record")</f>
        <v/>
      </c>
      <c r="AT352">
        <f>HYPERLINK("http://www.worldcat.org/oclc/802031","WorldCat Record")</f>
        <v/>
      </c>
      <c r="AU352" t="inlineStr">
        <is>
          <t>4924721893:ger</t>
        </is>
      </c>
      <c r="AV352" t="inlineStr">
        <is>
          <t>802031</t>
        </is>
      </c>
      <c r="AW352" t="inlineStr">
        <is>
          <t>991005356889702656</t>
        </is>
      </c>
      <c r="AX352" t="inlineStr">
        <is>
          <t>991005356889702656</t>
        </is>
      </c>
      <c r="AY352" t="inlineStr">
        <is>
          <t>2270552310002656</t>
        </is>
      </c>
      <c r="AZ352" t="inlineStr">
        <is>
          <t>BOOK</t>
        </is>
      </c>
      <c r="BC352" t="inlineStr">
        <is>
          <t>32285002779311</t>
        </is>
      </c>
      <c r="BD352" t="inlineStr">
        <is>
          <t>893520975</t>
        </is>
      </c>
    </row>
    <row r="353">
      <c r="A353" t="inlineStr">
        <is>
          <t>No</t>
        </is>
      </c>
      <c r="B353" t="inlineStr">
        <is>
          <t>QD151 .G52 NO. 60 PT. A1</t>
        </is>
      </c>
      <c r="C353" t="inlineStr">
        <is>
          <t>0                      QD 0151000G  52                                                      NO. 60 PT. A1</t>
        </is>
      </c>
      <c r="D353" t="inlineStr">
        <is>
          <t>Gmelins Handbuch der anorganischen chemie.</t>
        </is>
      </c>
      <c r="E353" t="inlineStr">
        <is>
          <t>NO. 60 PT. A1*</t>
        </is>
      </c>
      <c r="F353" t="inlineStr">
        <is>
          <t>Yes</t>
        </is>
      </c>
      <c r="G353" t="inlineStr">
        <is>
          <t>1</t>
        </is>
      </c>
      <c r="H353" t="inlineStr">
        <is>
          <t>No</t>
        </is>
      </c>
      <c r="I353" t="inlineStr">
        <is>
          <t>No</t>
        </is>
      </c>
      <c r="J353" t="inlineStr">
        <is>
          <t>0</t>
        </is>
      </c>
      <c r="L353" t="inlineStr">
        <is>
          <t>Leipzig-Berlin, Verlag Chemie g.m.b.h., 1924-</t>
        </is>
      </c>
      <c r="M353" t="inlineStr">
        <is>
          <t>1924</t>
        </is>
      </c>
      <c r="N353" t="inlineStr">
        <is>
          <t>8. aufl. Hrsg. von der Deutschen chemischen gesellschaft, bearb. von R.J. Meyer, unter beratender mitwirkung von Franz Peters.</t>
        </is>
      </c>
      <c r="O353" t="inlineStr">
        <is>
          <t>ger</t>
        </is>
      </c>
      <c r="P353" t="inlineStr">
        <is>
          <t xml:space="preserve">xx </t>
        </is>
      </c>
      <c r="R353" t="inlineStr">
        <is>
          <t xml:space="preserve">QD </t>
        </is>
      </c>
      <c r="S353" t="n">
        <v>1</v>
      </c>
      <c r="T353" t="n">
        <v>324</v>
      </c>
      <c r="U353" t="inlineStr">
        <is>
          <t>1998-07-27</t>
        </is>
      </c>
      <c r="V353" t="inlineStr">
        <is>
          <t>1998-07-28</t>
        </is>
      </c>
      <c r="W353" t="inlineStr">
        <is>
          <t>1997-06-09</t>
        </is>
      </c>
      <c r="X353" t="inlineStr">
        <is>
          <t>1998-06-24</t>
        </is>
      </c>
      <c r="Y353" t="n">
        <v>259</v>
      </c>
      <c r="Z353" t="n">
        <v>221</v>
      </c>
      <c r="AA353" t="n">
        <v>223</v>
      </c>
      <c r="AB353" t="n">
        <v>2</v>
      </c>
      <c r="AC353" t="n">
        <v>2</v>
      </c>
      <c r="AD353" t="n">
        <v>10</v>
      </c>
      <c r="AE353" t="n">
        <v>10</v>
      </c>
      <c r="AF353" t="n">
        <v>2</v>
      </c>
      <c r="AG353" t="n">
        <v>2</v>
      </c>
      <c r="AH353" t="n">
        <v>2</v>
      </c>
      <c r="AI353" t="n">
        <v>2</v>
      </c>
      <c r="AJ353" t="n">
        <v>8</v>
      </c>
      <c r="AK353" t="n">
        <v>8</v>
      </c>
      <c r="AL353" t="n">
        <v>1</v>
      </c>
      <c r="AM353" t="n">
        <v>1</v>
      </c>
      <c r="AN353" t="n">
        <v>0</v>
      </c>
      <c r="AO353" t="n">
        <v>0</v>
      </c>
      <c r="AP353" t="inlineStr">
        <is>
          <t>No</t>
        </is>
      </c>
      <c r="AQ353" t="inlineStr">
        <is>
          <t>Yes</t>
        </is>
      </c>
      <c r="AR353">
        <f>HYPERLINK("http://catalog.hathitrust.org/Record/009932175","HathiTrust Record")</f>
        <v/>
      </c>
      <c r="AS353">
        <f>HYPERLINK("https://creighton-primo.hosted.exlibrisgroup.com/primo-explore/search?tab=default_tab&amp;search_scope=EVERYTHING&amp;vid=01CRU&amp;lang=en_US&amp;offset=0&amp;query=any,contains,991005356889702656","Catalog Record")</f>
        <v/>
      </c>
      <c r="AT353">
        <f>HYPERLINK("http://www.worldcat.org/oclc/802031","WorldCat Record")</f>
        <v/>
      </c>
      <c r="AU353" t="inlineStr">
        <is>
          <t>4924721893:ger</t>
        </is>
      </c>
      <c r="AV353" t="inlineStr">
        <is>
          <t>802031</t>
        </is>
      </c>
      <c r="AW353" t="inlineStr">
        <is>
          <t>991005356889702656</t>
        </is>
      </c>
      <c r="AX353" t="inlineStr">
        <is>
          <t>991005356889702656</t>
        </is>
      </c>
      <c r="AY353" t="inlineStr">
        <is>
          <t>2270552310002656</t>
        </is>
      </c>
      <c r="AZ353" t="inlineStr">
        <is>
          <t>BOOK</t>
        </is>
      </c>
      <c r="BC353" t="inlineStr">
        <is>
          <t>32285002791860</t>
        </is>
      </c>
      <c r="BD353" t="inlineStr">
        <is>
          <t>893533616</t>
        </is>
      </c>
    </row>
    <row r="354">
      <c r="A354" t="inlineStr">
        <is>
          <t>No</t>
        </is>
      </c>
      <c r="B354" t="inlineStr">
        <is>
          <t>QD151 .G52 NO. 60 PT. A2</t>
        </is>
      </c>
      <c r="C354" t="inlineStr">
        <is>
          <t>0                      QD 0151000G  52                                                      NO. 60 PT. A2</t>
        </is>
      </c>
      <c r="D354" t="inlineStr">
        <is>
          <t>Gmelins Handbuch der anorganischen chemie.</t>
        </is>
      </c>
      <c r="E354" t="inlineStr">
        <is>
          <t>NO. 60 PT. A2*</t>
        </is>
      </c>
      <c r="F354" t="inlineStr">
        <is>
          <t>Yes</t>
        </is>
      </c>
      <c r="G354" t="inlineStr">
        <is>
          <t>1</t>
        </is>
      </c>
      <c r="H354" t="inlineStr">
        <is>
          <t>No</t>
        </is>
      </c>
      <c r="I354" t="inlineStr">
        <is>
          <t>No</t>
        </is>
      </c>
      <c r="J354" t="inlineStr">
        <is>
          <t>0</t>
        </is>
      </c>
      <c r="L354" t="inlineStr">
        <is>
          <t>Leipzig-Berlin, Verlag Chemie g.m.b.h., 1924-</t>
        </is>
      </c>
      <c r="M354" t="inlineStr">
        <is>
          <t>1924</t>
        </is>
      </c>
      <c r="N354" t="inlineStr">
        <is>
          <t>8. aufl. Hrsg. von der Deutschen chemischen gesellschaft, bearb. von R.J. Meyer, unter beratender mitwirkung von Franz Peters.</t>
        </is>
      </c>
      <c r="O354" t="inlineStr">
        <is>
          <t>ger</t>
        </is>
      </c>
      <c r="P354" t="inlineStr">
        <is>
          <t xml:space="preserve">xx </t>
        </is>
      </c>
      <c r="R354" t="inlineStr">
        <is>
          <t xml:space="preserve">QD </t>
        </is>
      </c>
      <c r="S354" t="n">
        <v>1</v>
      </c>
      <c r="T354" t="n">
        <v>324</v>
      </c>
      <c r="U354" t="inlineStr">
        <is>
          <t>1998-07-27</t>
        </is>
      </c>
      <c r="V354" t="inlineStr">
        <is>
          <t>1998-07-28</t>
        </is>
      </c>
      <c r="W354" t="inlineStr">
        <is>
          <t>1997-06-09</t>
        </is>
      </c>
      <c r="X354" t="inlineStr">
        <is>
          <t>1998-06-24</t>
        </is>
      </c>
      <c r="Y354" t="n">
        <v>259</v>
      </c>
      <c r="Z354" t="n">
        <v>221</v>
      </c>
      <c r="AA354" t="n">
        <v>223</v>
      </c>
      <c r="AB354" t="n">
        <v>2</v>
      </c>
      <c r="AC354" t="n">
        <v>2</v>
      </c>
      <c r="AD354" t="n">
        <v>10</v>
      </c>
      <c r="AE354" t="n">
        <v>10</v>
      </c>
      <c r="AF354" t="n">
        <v>2</v>
      </c>
      <c r="AG354" t="n">
        <v>2</v>
      </c>
      <c r="AH354" t="n">
        <v>2</v>
      </c>
      <c r="AI354" t="n">
        <v>2</v>
      </c>
      <c r="AJ354" t="n">
        <v>8</v>
      </c>
      <c r="AK354" t="n">
        <v>8</v>
      </c>
      <c r="AL354" t="n">
        <v>1</v>
      </c>
      <c r="AM354" t="n">
        <v>1</v>
      </c>
      <c r="AN354" t="n">
        <v>0</v>
      </c>
      <c r="AO354" t="n">
        <v>0</v>
      </c>
      <c r="AP354" t="inlineStr">
        <is>
          <t>No</t>
        </is>
      </c>
      <c r="AQ354" t="inlineStr">
        <is>
          <t>Yes</t>
        </is>
      </c>
      <c r="AR354">
        <f>HYPERLINK("http://catalog.hathitrust.org/Record/009932175","HathiTrust Record")</f>
        <v/>
      </c>
      <c r="AS354">
        <f>HYPERLINK("https://creighton-primo.hosted.exlibrisgroup.com/primo-explore/search?tab=default_tab&amp;search_scope=EVERYTHING&amp;vid=01CRU&amp;lang=en_US&amp;offset=0&amp;query=any,contains,991005356889702656","Catalog Record")</f>
        <v/>
      </c>
      <c r="AT354">
        <f>HYPERLINK("http://www.worldcat.org/oclc/802031","WorldCat Record")</f>
        <v/>
      </c>
      <c r="AU354" t="inlineStr">
        <is>
          <t>4924721893:ger</t>
        </is>
      </c>
      <c r="AV354" t="inlineStr">
        <is>
          <t>802031</t>
        </is>
      </c>
      <c r="AW354" t="inlineStr">
        <is>
          <t>991005356889702656</t>
        </is>
      </c>
      <c r="AX354" t="inlineStr">
        <is>
          <t>991005356889702656</t>
        </is>
      </c>
      <c r="AY354" t="inlineStr">
        <is>
          <t>2270552310002656</t>
        </is>
      </c>
      <c r="AZ354" t="inlineStr">
        <is>
          <t>BOOK</t>
        </is>
      </c>
      <c r="BC354" t="inlineStr">
        <is>
          <t>32285002791878</t>
        </is>
      </c>
      <c r="BD354" t="inlineStr">
        <is>
          <t>893508073</t>
        </is>
      </c>
    </row>
    <row r="355">
      <c r="A355" t="inlineStr">
        <is>
          <t>No</t>
        </is>
      </c>
      <c r="B355" t="inlineStr">
        <is>
          <t>QD151 .G52 NO. 60 PT. B1</t>
        </is>
      </c>
      <c r="C355" t="inlineStr">
        <is>
          <t>0                      QD 0151000G  52                                                      NO. 60 PT. B1</t>
        </is>
      </c>
      <c r="D355" t="inlineStr">
        <is>
          <t>Gmelins Handbuch der anorganischen chemie.</t>
        </is>
      </c>
      <c r="E355" t="inlineStr">
        <is>
          <t>NO. 60 PT. B1*</t>
        </is>
      </c>
      <c r="F355" t="inlineStr">
        <is>
          <t>Yes</t>
        </is>
      </c>
      <c r="G355" t="inlineStr">
        <is>
          <t>1</t>
        </is>
      </c>
      <c r="H355" t="inlineStr">
        <is>
          <t>No</t>
        </is>
      </c>
      <c r="I355" t="inlineStr">
        <is>
          <t>No</t>
        </is>
      </c>
      <c r="J355" t="inlineStr">
        <is>
          <t>0</t>
        </is>
      </c>
      <c r="L355" t="inlineStr">
        <is>
          <t>Leipzig-Berlin, Verlag Chemie g.m.b.h., 1924-</t>
        </is>
      </c>
      <c r="M355" t="inlineStr">
        <is>
          <t>1924</t>
        </is>
      </c>
      <c r="N355" t="inlineStr">
        <is>
          <t>8. aufl. Hrsg. von der Deutschen chemischen gesellschaft, bearb. von R.J. Meyer, unter beratender mitwirkung von Franz Peters.</t>
        </is>
      </c>
      <c r="O355" t="inlineStr">
        <is>
          <t>ger</t>
        </is>
      </c>
      <c r="P355" t="inlineStr">
        <is>
          <t xml:space="preserve">xx </t>
        </is>
      </c>
      <c r="R355" t="inlineStr">
        <is>
          <t xml:space="preserve">QD </t>
        </is>
      </c>
      <c r="S355" t="n">
        <v>1</v>
      </c>
      <c r="T355" t="n">
        <v>324</v>
      </c>
      <c r="U355" t="inlineStr">
        <is>
          <t>1998-07-27</t>
        </is>
      </c>
      <c r="V355" t="inlineStr">
        <is>
          <t>1998-07-28</t>
        </is>
      </c>
      <c r="W355" t="inlineStr">
        <is>
          <t>1997-06-09</t>
        </is>
      </c>
      <c r="X355" t="inlineStr">
        <is>
          <t>1998-06-24</t>
        </is>
      </c>
      <c r="Y355" t="n">
        <v>259</v>
      </c>
      <c r="Z355" t="n">
        <v>221</v>
      </c>
      <c r="AA355" t="n">
        <v>223</v>
      </c>
      <c r="AB355" t="n">
        <v>2</v>
      </c>
      <c r="AC355" t="n">
        <v>2</v>
      </c>
      <c r="AD355" t="n">
        <v>10</v>
      </c>
      <c r="AE355" t="n">
        <v>10</v>
      </c>
      <c r="AF355" t="n">
        <v>2</v>
      </c>
      <c r="AG355" t="n">
        <v>2</v>
      </c>
      <c r="AH355" t="n">
        <v>2</v>
      </c>
      <c r="AI355" t="n">
        <v>2</v>
      </c>
      <c r="AJ355" t="n">
        <v>8</v>
      </c>
      <c r="AK355" t="n">
        <v>8</v>
      </c>
      <c r="AL355" t="n">
        <v>1</v>
      </c>
      <c r="AM355" t="n">
        <v>1</v>
      </c>
      <c r="AN355" t="n">
        <v>0</v>
      </c>
      <c r="AO355" t="n">
        <v>0</v>
      </c>
      <c r="AP355" t="inlineStr">
        <is>
          <t>No</t>
        </is>
      </c>
      <c r="AQ355" t="inlineStr">
        <is>
          <t>Yes</t>
        </is>
      </c>
      <c r="AR355">
        <f>HYPERLINK("http://catalog.hathitrust.org/Record/009932175","HathiTrust Record")</f>
        <v/>
      </c>
      <c r="AS355">
        <f>HYPERLINK("https://creighton-primo.hosted.exlibrisgroup.com/primo-explore/search?tab=default_tab&amp;search_scope=EVERYTHING&amp;vid=01CRU&amp;lang=en_US&amp;offset=0&amp;query=any,contains,991005356889702656","Catalog Record")</f>
        <v/>
      </c>
      <c r="AT355">
        <f>HYPERLINK("http://www.worldcat.org/oclc/802031","WorldCat Record")</f>
        <v/>
      </c>
      <c r="AU355" t="inlineStr">
        <is>
          <t>4924721893:ger</t>
        </is>
      </c>
      <c r="AV355" t="inlineStr">
        <is>
          <t>802031</t>
        </is>
      </c>
      <c r="AW355" t="inlineStr">
        <is>
          <t>991005356889702656</t>
        </is>
      </c>
      <c r="AX355" t="inlineStr">
        <is>
          <t>991005356889702656</t>
        </is>
      </c>
      <c r="AY355" t="inlineStr">
        <is>
          <t>2270552310002656</t>
        </is>
      </c>
      <c r="AZ355" t="inlineStr">
        <is>
          <t>BOOK</t>
        </is>
      </c>
      <c r="BC355" t="inlineStr">
        <is>
          <t>32285002791886</t>
        </is>
      </c>
      <c r="BD355" t="inlineStr">
        <is>
          <t>893527437</t>
        </is>
      </c>
    </row>
    <row r="356">
      <c r="A356" t="inlineStr">
        <is>
          <t>No</t>
        </is>
      </c>
      <c r="B356" t="inlineStr">
        <is>
          <t>QD151 .G52 NO. 60 PT. B2</t>
        </is>
      </c>
      <c r="C356" t="inlineStr">
        <is>
          <t>0                      QD 0151000G  52                                                      NO. 60 PT. B2</t>
        </is>
      </c>
      <c r="D356" t="inlineStr">
        <is>
          <t>Gmelins Handbuch der anorganischen chemie.</t>
        </is>
      </c>
      <c r="E356" t="inlineStr">
        <is>
          <t>NO. 60 PT. B2*</t>
        </is>
      </c>
      <c r="F356" t="inlineStr">
        <is>
          <t>Yes</t>
        </is>
      </c>
      <c r="G356" t="inlineStr">
        <is>
          <t>1</t>
        </is>
      </c>
      <c r="H356" t="inlineStr">
        <is>
          <t>No</t>
        </is>
      </c>
      <c r="I356" t="inlineStr">
        <is>
          <t>No</t>
        </is>
      </c>
      <c r="J356" t="inlineStr">
        <is>
          <t>0</t>
        </is>
      </c>
      <c r="L356" t="inlineStr">
        <is>
          <t>Leipzig-Berlin, Verlag Chemie g.m.b.h., 1924-</t>
        </is>
      </c>
      <c r="M356" t="inlineStr">
        <is>
          <t>1924</t>
        </is>
      </c>
      <c r="N356" t="inlineStr">
        <is>
          <t>8. aufl. Hrsg. von der Deutschen chemischen gesellschaft, bearb. von R.J. Meyer, unter beratender mitwirkung von Franz Peters.</t>
        </is>
      </c>
      <c r="O356" t="inlineStr">
        <is>
          <t>ger</t>
        </is>
      </c>
      <c r="P356" t="inlineStr">
        <is>
          <t xml:space="preserve">xx </t>
        </is>
      </c>
      <c r="R356" t="inlineStr">
        <is>
          <t xml:space="preserve">QD </t>
        </is>
      </c>
      <c r="S356" t="n">
        <v>1</v>
      </c>
      <c r="T356" t="n">
        <v>324</v>
      </c>
      <c r="U356" t="inlineStr">
        <is>
          <t>1998-07-27</t>
        </is>
      </c>
      <c r="V356" t="inlineStr">
        <is>
          <t>1998-07-28</t>
        </is>
      </c>
      <c r="W356" t="inlineStr">
        <is>
          <t>1997-06-09</t>
        </is>
      </c>
      <c r="X356" t="inlineStr">
        <is>
          <t>1998-06-24</t>
        </is>
      </c>
      <c r="Y356" t="n">
        <v>259</v>
      </c>
      <c r="Z356" t="n">
        <v>221</v>
      </c>
      <c r="AA356" t="n">
        <v>223</v>
      </c>
      <c r="AB356" t="n">
        <v>2</v>
      </c>
      <c r="AC356" t="n">
        <v>2</v>
      </c>
      <c r="AD356" t="n">
        <v>10</v>
      </c>
      <c r="AE356" t="n">
        <v>10</v>
      </c>
      <c r="AF356" t="n">
        <v>2</v>
      </c>
      <c r="AG356" t="n">
        <v>2</v>
      </c>
      <c r="AH356" t="n">
        <v>2</v>
      </c>
      <c r="AI356" t="n">
        <v>2</v>
      </c>
      <c r="AJ356" t="n">
        <v>8</v>
      </c>
      <c r="AK356" t="n">
        <v>8</v>
      </c>
      <c r="AL356" t="n">
        <v>1</v>
      </c>
      <c r="AM356" t="n">
        <v>1</v>
      </c>
      <c r="AN356" t="n">
        <v>0</v>
      </c>
      <c r="AO356" t="n">
        <v>0</v>
      </c>
      <c r="AP356" t="inlineStr">
        <is>
          <t>No</t>
        </is>
      </c>
      <c r="AQ356" t="inlineStr">
        <is>
          <t>Yes</t>
        </is>
      </c>
      <c r="AR356">
        <f>HYPERLINK("http://catalog.hathitrust.org/Record/009932175","HathiTrust Record")</f>
        <v/>
      </c>
      <c r="AS356">
        <f>HYPERLINK("https://creighton-primo.hosted.exlibrisgroup.com/primo-explore/search?tab=default_tab&amp;search_scope=EVERYTHING&amp;vid=01CRU&amp;lang=en_US&amp;offset=0&amp;query=any,contains,991005356889702656","Catalog Record")</f>
        <v/>
      </c>
      <c r="AT356">
        <f>HYPERLINK("http://www.worldcat.org/oclc/802031","WorldCat Record")</f>
        <v/>
      </c>
      <c r="AU356" t="inlineStr">
        <is>
          <t>4924721893:ger</t>
        </is>
      </c>
      <c r="AV356" t="inlineStr">
        <is>
          <t>802031</t>
        </is>
      </c>
      <c r="AW356" t="inlineStr">
        <is>
          <t>991005356889702656</t>
        </is>
      </c>
      <c r="AX356" t="inlineStr">
        <is>
          <t>991005356889702656</t>
        </is>
      </c>
      <c r="AY356" t="inlineStr">
        <is>
          <t>2270552310002656</t>
        </is>
      </c>
      <c r="AZ356" t="inlineStr">
        <is>
          <t>BOOK</t>
        </is>
      </c>
      <c r="BC356" t="inlineStr">
        <is>
          <t>32285002791894</t>
        </is>
      </c>
      <c r="BD356" t="inlineStr">
        <is>
          <t>893508072</t>
        </is>
      </c>
    </row>
    <row r="357">
      <c r="A357" t="inlineStr">
        <is>
          <t>No</t>
        </is>
      </c>
      <c r="B357" t="inlineStr">
        <is>
          <t>QD151 .G52 NO. 60 PT. B3</t>
        </is>
      </c>
      <c r="C357" t="inlineStr">
        <is>
          <t>0                      QD 0151000G  52                                                      NO. 60 PT. B3</t>
        </is>
      </c>
      <c r="D357" t="inlineStr">
        <is>
          <t>Gmelins Handbuch der anorganischen chemie.</t>
        </is>
      </c>
      <c r="E357" t="inlineStr">
        <is>
          <t>NO. 60 PT. B3*</t>
        </is>
      </c>
      <c r="F357" t="inlineStr">
        <is>
          <t>Yes</t>
        </is>
      </c>
      <c r="G357" t="inlineStr">
        <is>
          <t>1</t>
        </is>
      </c>
      <c r="H357" t="inlineStr">
        <is>
          <t>No</t>
        </is>
      </c>
      <c r="I357" t="inlineStr">
        <is>
          <t>No</t>
        </is>
      </c>
      <c r="J357" t="inlineStr">
        <is>
          <t>0</t>
        </is>
      </c>
      <c r="L357" t="inlineStr">
        <is>
          <t>Leipzig-Berlin, Verlag Chemie g.m.b.h., 1924-</t>
        </is>
      </c>
      <c r="M357" t="inlineStr">
        <is>
          <t>1924</t>
        </is>
      </c>
      <c r="N357" t="inlineStr">
        <is>
          <t>8. aufl. Hrsg. von der Deutschen chemischen gesellschaft, bearb. von R.J. Meyer, unter beratender mitwirkung von Franz Peters.</t>
        </is>
      </c>
      <c r="O357" t="inlineStr">
        <is>
          <t>ger</t>
        </is>
      </c>
      <c r="P357" t="inlineStr">
        <is>
          <t xml:space="preserve">xx </t>
        </is>
      </c>
      <c r="R357" t="inlineStr">
        <is>
          <t xml:space="preserve">QD </t>
        </is>
      </c>
      <c r="S357" t="n">
        <v>1</v>
      </c>
      <c r="T357" t="n">
        <v>324</v>
      </c>
      <c r="U357" t="inlineStr">
        <is>
          <t>1998-07-27</t>
        </is>
      </c>
      <c r="V357" t="inlineStr">
        <is>
          <t>1998-07-28</t>
        </is>
      </c>
      <c r="W357" t="inlineStr">
        <is>
          <t>1997-06-09</t>
        </is>
      </c>
      <c r="X357" t="inlineStr">
        <is>
          <t>1998-06-24</t>
        </is>
      </c>
      <c r="Y357" t="n">
        <v>259</v>
      </c>
      <c r="Z357" t="n">
        <v>221</v>
      </c>
      <c r="AA357" t="n">
        <v>223</v>
      </c>
      <c r="AB357" t="n">
        <v>2</v>
      </c>
      <c r="AC357" t="n">
        <v>2</v>
      </c>
      <c r="AD357" t="n">
        <v>10</v>
      </c>
      <c r="AE357" t="n">
        <v>10</v>
      </c>
      <c r="AF357" t="n">
        <v>2</v>
      </c>
      <c r="AG357" t="n">
        <v>2</v>
      </c>
      <c r="AH357" t="n">
        <v>2</v>
      </c>
      <c r="AI357" t="n">
        <v>2</v>
      </c>
      <c r="AJ357" t="n">
        <v>8</v>
      </c>
      <c r="AK357" t="n">
        <v>8</v>
      </c>
      <c r="AL357" t="n">
        <v>1</v>
      </c>
      <c r="AM357" t="n">
        <v>1</v>
      </c>
      <c r="AN357" t="n">
        <v>0</v>
      </c>
      <c r="AO357" t="n">
        <v>0</v>
      </c>
      <c r="AP357" t="inlineStr">
        <is>
          <t>No</t>
        </is>
      </c>
      <c r="AQ357" t="inlineStr">
        <is>
          <t>Yes</t>
        </is>
      </c>
      <c r="AR357">
        <f>HYPERLINK("http://catalog.hathitrust.org/Record/009932175","HathiTrust Record")</f>
        <v/>
      </c>
      <c r="AS357">
        <f>HYPERLINK("https://creighton-primo.hosted.exlibrisgroup.com/primo-explore/search?tab=default_tab&amp;search_scope=EVERYTHING&amp;vid=01CRU&amp;lang=en_US&amp;offset=0&amp;query=any,contains,991005356889702656","Catalog Record")</f>
        <v/>
      </c>
      <c r="AT357">
        <f>HYPERLINK("http://www.worldcat.org/oclc/802031","WorldCat Record")</f>
        <v/>
      </c>
      <c r="AU357" t="inlineStr">
        <is>
          <t>4924721893:ger</t>
        </is>
      </c>
      <c r="AV357" t="inlineStr">
        <is>
          <t>802031</t>
        </is>
      </c>
      <c r="AW357" t="inlineStr">
        <is>
          <t>991005356889702656</t>
        </is>
      </c>
      <c r="AX357" t="inlineStr">
        <is>
          <t>991005356889702656</t>
        </is>
      </c>
      <c r="AY357" t="inlineStr">
        <is>
          <t>2270552310002656</t>
        </is>
      </c>
      <c r="AZ357" t="inlineStr">
        <is>
          <t>BOOK</t>
        </is>
      </c>
      <c r="BC357" t="inlineStr">
        <is>
          <t>32285002791902</t>
        </is>
      </c>
      <c r="BD357" t="inlineStr">
        <is>
          <t>893527436</t>
        </is>
      </c>
    </row>
    <row r="358">
      <c r="A358" t="inlineStr">
        <is>
          <t>No</t>
        </is>
      </c>
      <c r="B358" t="inlineStr">
        <is>
          <t>QD151 .G52 NO. 60 PT. B4</t>
        </is>
      </c>
      <c r="C358" t="inlineStr">
        <is>
          <t>0                      QD 0151000G  52                                                      NO. 60 PT. B4</t>
        </is>
      </c>
      <c r="D358" t="inlineStr">
        <is>
          <t>Gmelins Handbuch der anorganischen chemie.</t>
        </is>
      </c>
      <c r="E358" t="inlineStr">
        <is>
          <t>NO. 60 PT. B4*</t>
        </is>
      </c>
      <c r="F358" t="inlineStr">
        <is>
          <t>Yes</t>
        </is>
      </c>
      <c r="G358" t="inlineStr">
        <is>
          <t>1</t>
        </is>
      </c>
      <c r="H358" t="inlineStr">
        <is>
          <t>No</t>
        </is>
      </c>
      <c r="I358" t="inlineStr">
        <is>
          <t>No</t>
        </is>
      </c>
      <c r="J358" t="inlineStr">
        <is>
          <t>0</t>
        </is>
      </c>
      <c r="L358" t="inlineStr">
        <is>
          <t>Leipzig-Berlin, Verlag Chemie g.m.b.h., 1924-</t>
        </is>
      </c>
      <c r="M358" t="inlineStr">
        <is>
          <t>1924</t>
        </is>
      </c>
      <c r="N358" t="inlineStr">
        <is>
          <t>8. aufl. Hrsg. von der Deutschen chemischen gesellschaft, bearb. von R.J. Meyer, unter beratender mitwirkung von Franz Peters.</t>
        </is>
      </c>
      <c r="O358" t="inlineStr">
        <is>
          <t>ger</t>
        </is>
      </c>
      <c r="P358" t="inlineStr">
        <is>
          <t xml:space="preserve">xx </t>
        </is>
      </c>
      <c r="R358" t="inlineStr">
        <is>
          <t xml:space="preserve">QD </t>
        </is>
      </c>
      <c r="S358" t="n">
        <v>1</v>
      </c>
      <c r="T358" t="n">
        <v>324</v>
      </c>
      <c r="U358" t="inlineStr">
        <is>
          <t>1998-07-27</t>
        </is>
      </c>
      <c r="V358" t="inlineStr">
        <is>
          <t>1998-07-28</t>
        </is>
      </c>
      <c r="W358" t="inlineStr">
        <is>
          <t>1997-06-09</t>
        </is>
      </c>
      <c r="X358" t="inlineStr">
        <is>
          <t>1998-06-24</t>
        </is>
      </c>
      <c r="Y358" t="n">
        <v>259</v>
      </c>
      <c r="Z358" t="n">
        <v>221</v>
      </c>
      <c r="AA358" t="n">
        <v>223</v>
      </c>
      <c r="AB358" t="n">
        <v>2</v>
      </c>
      <c r="AC358" t="n">
        <v>2</v>
      </c>
      <c r="AD358" t="n">
        <v>10</v>
      </c>
      <c r="AE358" t="n">
        <v>10</v>
      </c>
      <c r="AF358" t="n">
        <v>2</v>
      </c>
      <c r="AG358" t="n">
        <v>2</v>
      </c>
      <c r="AH358" t="n">
        <v>2</v>
      </c>
      <c r="AI358" t="n">
        <v>2</v>
      </c>
      <c r="AJ358" t="n">
        <v>8</v>
      </c>
      <c r="AK358" t="n">
        <v>8</v>
      </c>
      <c r="AL358" t="n">
        <v>1</v>
      </c>
      <c r="AM358" t="n">
        <v>1</v>
      </c>
      <c r="AN358" t="n">
        <v>0</v>
      </c>
      <c r="AO358" t="n">
        <v>0</v>
      </c>
      <c r="AP358" t="inlineStr">
        <is>
          <t>No</t>
        </is>
      </c>
      <c r="AQ358" t="inlineStr">
        <is>
          <t>Yes</t>
        </is>
      </c>
      <c r="AR358">
        <f>HYPERLINK("http://catalog.hathitrust.org/Record/009932175","HathiTrust Record")</f>
        <v/>
      </c>
      <c r="AS358">
        <f>HYPERLINK("https://creighton-primo.hosted.exlibrisgroup.com/primo-explore/search?tab=default_tab&amp;search_scope=EVERYTHING&amp;vid=01CRU&amp;lang=en_US&amp;offset=0&amp;query=any,contains,991005356889702656","Catalog Record")</f>
        <v/>
      </c>
      <c r="AT358">
        <f>HYPERLINK("http://www.worldcat.org/oclc/802031","WorldCat Record")</f>
        <v/>
      </c>
      <c r="AU358" t="inlineStr">
        <is>
          <t>4924721893:ger</t>
        </is>
      </c>
      <c r="AV358" t="inlineStr">
        <is>
          <t>802031</t>
        </is>
      </c>
      <c r="AW358" t="inlineStr">
        <is>
          <t>991005356889702656</t>
        </is>
      </c>
      <c r="AX358" t="inlineStr">
        <is>
          <t>991005356889702656</t>
        </is>
      </c>
      <c r="AY358" t="inlineStr">
        <is>
          <t>2270552310002656</t>
        </is>
      </c>
      <c r="AZ358" t="inlineStr">
        <is>
          <t>BOOK</t>
        </is>
      </c>
      <c r="BC358" t="inlineStr">
        <is>
          <t>32285002791910</t>
        </is>
      </c>
      <c r="BD358" t="inlineStr">
        <is>
          <t>893533615</t>
        </is>
      </c>
    </row>
    <row r="359">
      <c r="A359" t="inlineStr">
        <is>
          <t>No</t>
        </is>
      </c>
      <c r="B359" t="inlineStr">
        <is>
          <t>QD151 .G52 NO. 60 PT. D</t>
        </is>
      </c>
      <c r="C359" t="inlineStr">
        <is>
          <t>0                      QD 0151000G  52                                                      NO. 60 PT. D</t>
        </is>
      </c>
      <c r="D359" t="inlineStr">
        <is>
          <t>Gmelins Handbuch der anorganischen chemie.</t>
        </is>
      </c>
      <c r="E359" t="inlineStr">
        <is>
          <t>NO. 60 PT. D*</t>
        </is>
      </c>
      <c r="F359" t="inlineStr">
        <is>
          <t>Yes</t>
        </is>
      </c>
      <c r="G359" t="inlineStr">
        <is>
          <t>1</t>
        </is>
      </c>
      <c r="H359" t="inlineStr">
        <is>
          <t>No</t>
        </is>
      </c>
      <c r="I359" t="inlineStr">
        <is>
          <t>No</t>
        </is>
      </c>
      <c r="J359" t="inlineStr">
        <is>
          <t>0</t>
        </is>
      </c>
      <c r="L359" t="inlineStr">
        <is>
          <t>Leipzig-Berlin, Verlag Chemie g.m.b.h., 1924-</t>
        </is>
      </c>
      <c r="M359" t="inlineStr">
        <is>
          <t>1924</t>
        </is>
      </c>
      <c r="N359" t="inlineStr">
        <is>
          <t>8. aufl. Hrsg. von der Deutschen chemischen gesellschaft, bearb. von R.J. Meyer, unter beratender mitwirkung von Franz Peters.</t>
        </is>
      </c>
      <c r="O359" t="inlineStr">
        <is>
          <t>ger</t>
        </is>
      </c>
      <c r="P359" t="inlineStr">
        <is>
          <t xml:space="preserve">xx </t>
        </is>
      </c>
      <c r="R359" t="inlineStr">
        <is>
          <t xml:space="preserve">QD </t>
        </is>
      </c>
      <c r="S359" t="n">
        <v>1</v>
      </c>
      <c r="T359" t="n">
        <v>324</v>
      </c>
      <c r="U359" t="inlineStr">
        <is>
          <t>1998-07-27</t>
        </is>
      </c>
      <c r="V359" t="inlineStr">
        <is>
          <t>1998-07-28</t>
        </is>
      </c>
      <c r="W359" t="inlineStr">
        <is>
          <t>1997-06-09</t>
        </is>
      </c>
      <c r="X359" t="inlineStr">
        <is>
          <t>1998-06-24</t>
        </is>
      </c>
      <c r="Y359" t="n">
        <v>259</v>
      </c>
      <c r="Z359" t="n">
        <v>221</v>
      </c>
      <c r="AA359" t="n">
        <v>223</v>
      </c>
      <c r="AB359" t="n">
        <v>2</v>
      </c>
      <c r="AC359" t="n">
        <v>2</v>
      </c>
      <c r="AD359" t="n">
        <v>10</v>
      </c>
      <c r="AE359" t="n">
        <v>10</v>
      </c>
      <c r="AF359" t="n">
        <v>2</v>
      </c>
      <c r="AG359" t="n">
        <v>2</v>
      </c>
      <c r="AH359" t="n">
        <v>2</v>
      </c>
      <c r="AI359" t="n">
        <v>2</v>
      </c>
      <c r="AJ359" t="n">
        <v>8</v>
      </c>
      <c r="AK359" t="n">
        <v>8</v>
      </c>
      <c r="AL359" t="n">
        <v>1</v>
      </c>
      <c r="AM359" t="n">
        <v>1</v>
      </c>
      <c r="AN359" t="n">
        <v>0</v>
      </c>
      <c r="AO359" t="n">
        <v>0</v>
      </c>
      <c r="AP359" t="inlineStr">
        <is>
          <t>No</t>
        </is>
      </c>
      <c r="AQ359" t="inlineStr">
        <is>
          <t>Yes</t>
        </is>
      </c>
      <c r="AR359">
        <f>HYPERLINK("http://catalog.hathitrust.org/Record/009932175","HathiTrust Record")</f>
        <v/>
      </c>
      <c r="AS359">
        <f>HYPERLINK("https://creighton-primo.hosted.exlibrisgroup.com/primo-explore/search?tab=default_tab&amp;search_scope=EVERYTHING&amp;vid=01CRU&amp;lang=en_US&amp;offset=0&amp;query=any,contains,991005356889702656","Catalog Record")</f>
        <v/>
      </c>
      <c r="AT359">
        <f>HYPERLINK("http://www.worldcat.org/oclc/802031","WorldCat Record")</f>
        <v/>
      </c>
      <c r="AU359" t="inlineStr">
        <is>
          <t>4924721893:ger</t>
        </is>
      </c>
      <c r="AV359" t="inlineStr">
        <is>
          <t>802031</t>
        </is>
      </c>
      <c r="AW359" t="inlineStr">
        <is>
          <t>991005356889702656</t>
        </is>
      </c>
      <c r="AX359" t="inlineStr">
        <is>
          <t>991005356889702656</t>
        </is>
      </c>
      <c r="AY359" t="inlineStr">
        <is>
          <t>2270552310002656</t>
        </is>
      </c>
      <c r="AZ359" t="inlineStr">
        <is>
          <t>BOOK</t>
        </is>
      </c>
      <c r="BC359" t="inlineStr">
        <is>
          <t>32285002791928</t>
        </is>
      </c>
      <c r="BD359" t="inlineStr">
        <is>
          <t>893508071</t>
        </is>
      </c>
    </row>
    <row r="360">
      <c r="A360" t="inlineStr">
        <is>
          <t>No</t>
        </is>
      </c>
      <c r="B360" t="inlineStr">
        <is>
          <t>QD151 .G52 NO. 61 PT. A1</t>
        </is>
      </c>
      <c r="C360" t="inlineStr">
        <is>
          <t>0                      QD 0151000G  52                                                      NO. 61 PT. A1</t>
        </is>
      </c>
      <c r="D360" t="inlineStr">
        <is>
          <t>Gmelins Handbuch der anorganischen chemie.</t>
        </is>
      </c>
      <c r="E360" t="inlineStr">
        <is>
          <t>NO. 61 PT. A1*</t>
        </is>
      </c>
      <c r="F360" t="inlineStr">
        <is>
          <t>Yes</t>
        </is>
      </c>
      <c r="G360" t="inlineStr">
        <is>
          <t>1</t>
        </is>
      </c>
      <c r="H360" t="inlineStr">
        <is>
          <t>No</t>
        </is>
      </c>
      <c r="I360" t="inlineStr">
        <is>
          <t>No</t>
        </is>
      </c>
      <c r="J360" t="inlineStr">
        <is>
          <t>0</t>
        </is>
      </c>
      <c r="L360" t="inlineStr">
        <is>
          <t>Leipzig-Berlin, Verlag Chemie g.m.b.h., 1924-</t>
        </is>
      </c>
      <c r="M360" t="inlineStr">
        <is>
          <t>1924</t>
        </is>
      </c>
      <c r="N360" t="inlineStr">
        <is>
          <t>8. aufl. Hrsg. von der Deutschen chemischen gesellschaft, bearb. von R.J. Meyer, unter beratender mitwirkung von Franz Peters.</t>
        </is>
      </c>
      <c r="O360" t="inlineStr">
        <is>
          <t>ger</t>
        </is>
      </c>
      <c r="P360" t="inlineStr">
        <is>
          <t xml:space="preserve">xx </t>
        </is>
      </c>
      <c r="R360" t="inlineStr">
        <is>
          <t xml:space="preserve">QD </t>
        </is>
      </c>
      <c r="S360" t="n">
        <v>1</v>
      </c>
      <c r="T360" t="n">
        <v>324</v>
      </c>
      <c r="U360" t="inlineStr">
        <is>
          <t>1998-07-27</t>
        </is>
      </c>
      <c r="V360" t="inlineStr">
        <is>
          <t>1998-07-28</t>
        </is>
      </c>
      <c r="W360" t="inlineStr">
        <is>
          <t>1997-06-09</t>
        </is>
      </c>
      <c r="X360" t="inlineStr">
        <is>
          <t>1998-06-24</t>
        </is>
      </c>
      <c r="Y360" t="n">
        <v>259</v>
      </c>
      <c r="Z360" t="n">
        <v>221</v>
      </c>
      <c r="AA360" t="n">
        <v>223</v>
      </c>
      <c r="AB360" t="n">
        <v>2</v>
      </c>
      <c r="AC360" t="n">
        <v>2</v>
      </c>
      <c r="AD360" t="n">
        <v>10</v>
      </c>
      <c r="AE360" t="n">
        <v>10</v>
      </c>
      <c r="AF360" t="n">
        <v>2</v>
      </c>
      <c r="AG360" t="n">
        <v>2</v>
      </c>
      <c r="AH360" t="n">
        <v>2</v>
      </c>
      <c r="AI360" t="n">
        <v>2</v>
      </c>
      <c r="AJ360" t="n">
        <v>8</v>
      </c>
      <c r="AK360" t="n">
        <v>8</v>
      </c>
      <c r="AL360" t="n">
        <v>1</v>
      </c>
      <c r="AM360" t="n">
        <v>1</v>
      </c>
      <c r="AN360" t="n">
        <v>0</v>
      </c>
      <c r="AO360" t="n">
        <v>0</v>
      </c>
      <c r="AP360" t="inlineStr">
        <is>
          <t>No</t>
        </is>
      </c>
      <c r="AQ360" t="inlineStr">
        <is>
          <t>Yes</t>
        </is>
      </c>
      <c r="AR360">
        <f>HYPERLINK("http://catalog.hathitrust.org/Record/009932175","HathiTrust Record")</f>
        <v/>
      </c>
      <c r="AS360">
        <f>HYPERLINK("https://creighton-primo.hosted.exlibrisgroup.com/primo-explore/search?tab=default_tab&amp;search_scope=EVERYTHING&amp;vid=01CRU&amp;lang=en_US&amp;offset=0&amp;query=any,contains,991005356889702656","Catalog Record")</f>
        <v/>
      </c>
      <c r="AT360">
        <f>HYPERLINK("http://www.worldcat.org/oclc/802031","WorldCat Record")</f>
        <v/>
      </c>
      <c r="AU360" t="inlineStr">
        <is>
          <t>4924721893:ger</t>
        </is>
      </c>
      <c r="AV360" t="inlineStr">
        <is>
          <t>802031</t>
        </is>
      </c>
      <c r="AW360" t="inlineStr">
        <is>
          <t>991005356889702656</t>
        </is>
      </c>
      <c r="AX360" t="inlineStr">
        <is>
          <t>991005356889702656</t>
        </is>
      </c>
      <c r="AY360" t="inlineStr">
        <is>
          <t>2270552310002656</t>
        </is>
      </c>
      <c r="AZ360" t="inlineStr">
        <is>
          <t>BOOK</t>
        </is>
      </c>
      <c r="BC360" t="inlineStr">
        <is>
          <t>32285002791936</t>
        </is>
      </c>
      <c r="BD360" t="inlineStr">
        <is>
          <t>893527435</t>
        </is>
      </c>
    </row>
    <row r="361">
      <c r="A361" t="inlineStr">
        <is>
          <t>No</t>
        </is>
      </c>
      <c r="B361" t="inlineStr">
        <is>
          <t>QD151 .G52 NO. 61 PT. A2</t>
        </is>
      </c>
      <c r="C361" t="inlineStr">
        <is>
          <t>0                      QD 0151000G  52                                                      NO. 61 PT. A2</t>
        </is>
      </c>
      <c r="D361" t="inlineStr">
        <is>
          <t>Gmelins Handbuch der anorganischen chemie.</t>
        </is>
      </c>
      <c r="E361" t="inlineStr">
        <is>
          <t>NO. 61 PT. A2*</t>
        </is>
      </c>
      <c r="F361" t="inlineStr">
        <is>
          <t>Yes</t>
        </is>
      </c>
      <c r="G361" t="inlineStr">
        <is>
          <t>1</t>
        </is>
      </c>
      <c r="H361" t="inlineStr">
        <is>
          <t>No</t>
        </is>
      </c>
      <c r="I361" t="inlineStr">
        <is>
          <t>No</t>
        </is>
      </c>
      <c r="J361" t="inlineStr">
        <is>
          <t>0</t>
        </is>
      </c>
      <c r="L361" t="inlineStr">
        <is>
          <t>Leipzig-Berlin, Verlag Chemie g.m.b.h., 1924-</t>
        </is>
      </c>
      <c r="M361" t="inlineStr">
        <is>
          <t>1924</t>
        </is>
      </c>
      <c r="N361" t="inlineStr">
        <is>
          <t>8. aufl. Hrsg. von der Deutschen chemischen gesellschaft, bearb. von R.J. Meyer, unter beratender mitwirkung von Franz Peters.</t>
        </is>
      </c>
      <c r="O361" t="inlineStr">
        <is>
          <t>ger</t>
        </is>
      </c>
      <c r="P361" t="inlineStr">
        <is>
          <t xml:space="preserve">xx </t>
        </is>
      </c>
      <c r="R361" t="inlineStr">
        <is>
          <t xml:space="preserve">QD </t>
        </is>
      </c>
      <c r="S361" t="n">
        <v>1</v>
      </c>
      <c r="T361" t="n">
        <v>324</v>
      </c>
      <c r="U361" t="inlineStr">
        <is>
          <t>1998-07-27</t>
        </is>
      </c>
      <c r="V361" t="inlineStr">
        <is>
          <t>1998-07-28</t>
        </is>
      </c>
      <c r="W361" t="inlineStr">
        <is>
          <t>1997-06-09</t>
        </is>
      </c>
      <c r="X361" t="inlineStr">
        <is>
          <t>1998-06-24</t>
        </is>
      </c>
      <c r="Y361" t="n">
        <v>259</v>
      </c>
      <c r="Z361" t="n">
        <v>221</v>
      </c>
      <c r="AA361" t="n">
        <v>223</v>
      </c>
      <c r="AB361" t="n">
        <v>2</v>
      </c>
      <c r="AC361" t="n">
        <v>2</v>
      </c>
      <c r="AD361" t="n">
        <v>10</v>
      </c>
      <c r="AE361" t="n">
        <v>10</v>
      </c>
      <c r="AF361" t="n">
        <v>2</v>
      </c>
      <c r="AG361" t="n">
        <v>2</v>
      </c>
      <c r="AH361" t="n">
        <v>2</v>
      </c>
      <c r="AI361" t="n">
        <v>2</v>
      </c>
      <c r="AJ361" t="n">
        <v>8</v>
      </c>
      <c r="AK361" t="n">
        <v>8</v>
      </c>
      <c r="AL361" t="n">
        <v>1</v>
      </c>
      <c r="AM361" t="n">
        <v>1</v>
      </c>
      <c r="AN361" t="n">
        <v>0</v>
      </c>
      <c r="AO361" t="n">
        <v>0</v>
      </c>
      <c r="AP361" t="inlineStr">
        <is>
          <t>No</t>
        </is>
      </c>
      <c r="AQ361" t="inlineStr">
        <is>
          <t>Yes</t>
        </is>
      </c>
      <c r="AR361">
        <f>HYPERLINK("http://catalog.hathitrust.org/Record/009932175","HathiTrust Record")</f>
        <v/>
      </c>
      <c r="AS361">
        <f>HYPERLINK("https://creighton-primo.hosted.exlibrisgroup.com/primo-explore/search?tab=default_tab&amp;search_scope=EVERYTHING&amp;vid=01CRU&amp;lang=en_US&amp;offset=0&amp;query=any,contains,991005356889702656","Catalog Record")</f>
        <v/>
      </c>
      <c r="AT361">
        <f>HYPERLINK("http://www.worldcat.org/oclc/802031","WorldCat Record")</f>
        <v/>
      </c>
      <c r="AU361" t="inlineStr">
        <is>
          <t>4924721893:ger</t>
        </is>
      </c>
      <c r="AV361" t="inlineStr">
        <is>
          <t>802031</t>
        </is>
      </c>
      <c r="AW361" t="inlineStr">
        <is>
          <t>991005356889702656</t>
        </is>
      </c>
      <c r="AX361" t="inlineStr">
        <is>
          <t>991005356889702656</t>
        </is>
      </c>
      <c r="AY361" t="inlineStr">
        <is>
          <t>2270552310002656</t>
        </is>
      </c>
      <c r="AZ361" t="inlineStr">
        <is>
          <t>BOOK</t>
        </is>
      </c>
      <c r="BC361" t="inlineStr">
        <is>
          <t>32285002791944</t>
        </is>
      </c>
      <c r="BD361" t="inlineStr">
        <is>
          <t>893508070</t>
        </is>
      </c>
    </row>
    <row r="362">
      <c r="A362" t="inlineStr">
        <is>
          <t>No</t>
        </is>
      </c>
      <c r="B362" t="inlineStr">
        <is>
          <t>QD151 .G52 NO. 61 PT. A3</t>
        </is>
      </c>
      <c r="C362" t="inlineStr">
        <is>
          <t>0                      QD 0151000G  52                                                      NO. 61 PT. A3</t>
        </is>
      </c>
      <c r="D362" t="inlineStr">
        <is>
          <t>Gmelins Handbuch der anorganischen chemie.</t>
        </is>
      </c>
      <c r="E362" t="inlineStr">
        <is>
          <t>NO. 61 PT. A3*</t>
        </is>
      </c>
      <c r="F362" t="inlineStr">
        <is>
          <t>Yes</t>
        </is>
      </c>
      <c r="G362" t="inlineStr">
        <is>
          <t>1</t>
        </is>
      </c>
      <c r="H362" t="inlineStr">
        <is>
          <t>No</t>
        </is>
      </c>
      <c r="I362" t="inlineStr">
        <is>
          <t>No</t>
        </is>
      </c>
      <c r="J362" t="inlineStr">
        <is>
          <t>0</t>
        </is>
      </c>
      <c r="L362" t="inlineStr">
        <is>
          <t>Leipzig-Berlin, Verlag Chemie g.m.b.h., 1924-</t>
        </is>
      </c>
      <c r="M362" t="inlineStr">
        <is>
          <t>1924</t>
        </is>
      </c>
      <c r="N362" t="inlineStr">
        <is>
          <t>8. aufl. Hrsg. von der Deutschen chemischen gesellschaft, bearb. von R.J. Meyer, unter beratender mitwirkung von Franz Peters.</t>
        </is>
      </c>
      <c r="O362" t="inlineStr">
        <is>
          <t>ger</t>
        </is>
      </c>
      <c r="P362" t="inlineStr">
        <is>
          <t xml:space="preserve">xx </t>
        </is>
      </c>
      <c r="R362" t="inlineStr">
        <is>
          <t xml:space="preserve">QD </t>
        </is>
      </c>
      <c r="S362" t="n">
        <v>1</v>
      </c>
      <c r="T362" t="n">
        <v>324</v>
      </c>
      <c r="U362" t="inlineStr">
        <is>
          <t>1998-07-27</t>
        </is>
      </c>
      <c r="V362" t="inlineStr">
        <is>
          <t>1998-07-28</t>
        </is>
      </c>
      <c r="W362" t="inlineStr">
        <is>
          <t>1997-06-09</t>
        </is>
      </c>
      <c r="X362" t="inlineStr">
        <is>
          <t>1998-06-24</t>
        </is>
      </c>
      <c r="Y362" t="n">
        <v>259</v>
      </c>
      <c r="Z362" t="n">
        <v>221</v>
      </c>
      <c r="AA362" t="n">
        <v>223</v>
      </c>
      <c r="AB362" t="n">
        <v>2</v>
      </c>
      <c r="AC362" t="n">
        <v>2</v>
      </c>
      <c r="AD362" t="n">
        <v>10</v>
      </c>
      <c r="AE362" t="n">
        <v>10</v>
      </c>
      <c r="AF362" t="n">
        <v>2</v>
      </c>
      <c r="AG362" t="n">
        <v>2</v>
      </c>
      <c r="AH362" t="n">
        <v>2</v>
      </c>
      <c r="AI362" t="n">
        <v>2</v>
      </c>
      <c r="AJ362" t="n">
        <v>8</v>
      </c>
      <c r="AK362" t="n">
        <v>8</v>
      </c>
      <c r="AL362" t="n">
        <v>1</v>
      </c>
      <c r="AM362" t="n">
        <v>1</v>
      </c>
      <c r="AN362" t="n">
        <v>0</v>
      </c>
      <c r="AO362" t="n">
        <v>0</v>
      </c>
      <c r="AP362" t="inlineStr">
        <is>
          <t>No</t>
        </is>
      </c>
      <c r="AQ362" t="inlineStr">
        <is>
          <t>Yes</t>
        </is>
      </c>
      <c r="AR362">
        <f>HYPERLINK("http://catalog.hathitrust.org/Record/009932175","HathiTrust Record")</f>
        <v/>
      </c>
      <c r="AS362">
        <f>HYPERLINK("https://creighton-primo.hosted.exlibrisgroup.com/primo-explore/search?tab=default_tab&amp;search_scope=EVERYTHING&amp;vid=01CRU&amp;lang=en_US&amp;offset=0&amp;query=any,contains,991005356889702656","Catalog Record")</f>
        <v/>
      </c>
      <c r="AT362">
        <f>HYPERLINK("http://www.worldcat.org/oclc/802031","WorldCat Record")</f>
        <v/>
      </c>
      <c r="AU362" t="inlineStr">
        <is>
          <t>4924721893:ger</t>
        </is>
      </c>
      <c r="AV362" t="inlineStr">
        <is>
          <t>802031</t>
        </is>
      </c>
      <c r="AW362" t="inlineStr">
        <is>
          <t>991005356889702656</t>
        </is>
      </c>
      <c r="AX362" t="inlineStr">
        <is>
          <t>991005356889702656</t>
        </is>
      </c>
      <c r="AY362" t="inlineStr">
        <is>
          <t>2270552310002656</t>
        </is>
      </c>
      <c r="AZ362" t="inlineStr">
        <is>
          <t>BOOK</t>
        </is>
      </c>
      <c r="BC362" t="inlineStr">
        <is>
          <t>32285002791951</t>
        </is>
      </c>
      <c r="BD362" t="inlineStr">
        <is>
          <t>893508069</t>
        </is>
      </c>
    </row>
    <row r="363">
      <c r="A363" t="inlineStr">
        <is>
          <t>No</t>
        </is>
      </c>
      <c r="B363" t="inlineStr">
        <is>
          <t>QD151 .G52 NO. 61 PT. A4</t>
        </is>
      </c>
      <c r="C363" t="inlineStr">
        <is>
          <t>0                      QD 0151000G  52                                                      NO. 61 PT. A4</t>
        </is>
      </c>
      <c r="D363" t="inlineStr">
        <is>
          <t>Gmelins Handbuch der anorganischen chemie.</t>
        </is>
      </c>
      <c r="E363" t="inlineStr">
        <is>
          <t>NO. 61 PT. A4*</t>
        </is>
      </c>
      <c r="F363" t="inlineStr">
        <is>
          <t>Yes</t>
        </is>
      </c>
      <c r="G363" t="inlineStr">
        <is>
          <t>1</t>
        </is>
      </c>
      <c r="H363" t="inlineStr">
        <is>
          <t>No</t>
        </is>
      </c>
      <c r="I363" t="inlineStr">
        <is>
          <t>No</t>
        </is>
      </c>
      <c r="J363" t="inlineStr">
        <is>
          <t>0</t>
        </is>
      </c>
      <c r="L363" t="inlineStr">
        <is>
          <t>Leipzig-Berlin, Verlag Chemie g.m.b.h., 1924-</t>
        </is>
      </c>
      <c r="M363" t="inlineStr">
        <is>
          <t>1924</t>
        </is>
      </c>
      <c r="N363" t="inlineStr">
        <is>
          <t>8. aufl. Hrsg. von der Deutschen chemischen gesellschaft, bearb. von R.J. Meyer, unter beratender mitwirkung von Franz Peters.</t>
        </is>
      </c>
      <c r="O363" t="inlineStr">
        <is>
          <t>ger</t>
        </is>
      </c>
      <c r="P363" t="inlineStr">
        <is>
          <t xml:space="preserve">xx </t>
        </is>
      </c>
      <c r="R363" t="inlineStr">
        <is>
          <t xml:space="preserve">QD </t>
        </is>
      </c>
      <c r="S363" t="n">
        <v>1</v>
      </c>
      <c r="T363" t="n">
        <v>324</v>
      </c>
      <c r="U363" t="inlineStr">
        <is>
          <t>1998-07-27</t>
        </is>
      </c>
      <c r="V363" t="inlineStr">
        <is>
          <t>1998-07-28</t>
        </is>
      </c>
      <c r="W363" t="inlineStr">
        <is>
          <t>1997-06-09</t>
        </is>
      </c>
      <c r="X363" t="inlineStr">
        <is>
          <t>1998-06-24</t>
        </is>
      </c>
      <c r="Y363" t="n">
        <v>259</v>
      </c>
      <c r="Z363" t="n">
        <v>221</v>
      </c>
      <c r="AA363" t="n">
        <v>223</v>
      </c>
      <c r="AB363" t="n">
        <v>2</v>
      </c>
      <c r="AC363" t="n">
        <v>2</v>
      </c>
      <c r="AD363" t="n">
        <v>10</v>
      </c>
      <c r="AE363" t="n">
        <v>10</v>
      </c>
      <c r="AF363" t="n">
        <v>2</v>
      </c>
      <c r="AG363" t="n">
        <v>2</v>
      </c>
      <c r="AH363" t="n">
        <v>2</v>
      </c>
      <c r="AI363" t="n">
        <v>2</v>
      </c>
      <c r="AJ363" t="n">
        <v>8</v>
      </c>
      <c r="AK363" t="n">
        <v>8</v>
      </c>
      <c r="AL363" t="n">
        <v>1</v>
      </c>
      <c r="AM363" t="n">
        <v>1</v>
      </c>
      <c r="AN363" t="n">
        <v>0</v>
      </c>
      <c r="AO363" t="n">
        <v>0</v>
      </c>
      <c r="AP363" t="inlineStr">
        <is>
          <t>No</t>
        </is>
      </c>
      <c r="AQ363" t="inlineStr">
        <is>
          <t>Yes</t>
        </is>
      </c>
      <c r="AR363">
        <f>HYPERLINK("http://catalog.hathitrust.org/Record/009932175","HathiTrust Record")</f>
        <v/>
      </c>
      <c r="AS363">
        <f>HYPERLINK("https://creighton-primo.hosted.exlibrisgroup.com/primo-explore/search?tab=default_tab&amp;search_scope=EVERYTHING&amp;vid=01CRU&amp;lang=en_US&amp;offset=0&amp;query=any,contains,991005356889702656","Catalog Record")</f>
        <v/>
      </c>
      <c r="AT363">
        <f>HYPERLINK("http://www.worldcat.org/oclc/802031","WorldCat Record")</f>
        <v/>
      </c>
      <c r="AU363" t="inlineStr">
        <is>
          <t>4924721893:ger</t>
        </is>
      </c>
      <c r="AV363" t="inlineStr">
        <is>
          <t>802031</t>
        </is>
      </c>
      <c r="AW363" t="inlineStr">
        <is>
          <t>991005356889702656</t>
        </is>
      </c>
      <c r="AX363" t="inlineStr">
        <is>
          <t>991005356889702656</t>
        </is>
      </c>
      <c r="AY363" t="inlineStr">
        <is>
          <t>2270552310002656</t>
        </is>
      </c>
      <c r="AZ363" t="inlineStr">
        <is>
          <t>BOOK</t>
        </is>
      </c>
      <c r="BC363" t="inlineStr">
        <is>
          <t>32285002791969</t>
        </is>
      </c>
      <c r="BD363" t="inlineStr">
        <is>
          <t>893508068</t>
        </is>
      </c>
    </row>
    <row r="364">
      <c r="A364" t="inlineStr">
        <is>
          <t>No</t>
        </is>
      </c>
      <c r="B364" t="inlineStr">
        <is>
          <t>QD151 .G52 NO. 61 PT. B1</t>
        </is>
      </c>
      <c r="C364" t="inlineStr">
        <is>
          <t>0                      QD 0151000G  52                                                      NO. 61 PT. B1</t>
        </is>
      </c>
      <c r="D364" t="inlineStr">
        <is>
          <t>Gmelins Handbuch der anorganischen chemie.</t>
        </is>
      </c>
      <c r="E364" t="inlineStr">
        <is>
          <t>NO. 61 PT. B1*</t>
        </is>
      </c>
      <c r="F364" t="inlineStr">
        <is>
          <t>Yes</t>
        </is>
      </c>
      <c r="G364" t="inlineStr">
        <is>
          <t>1</t>
        </is>
      </c>
      <c r="H364" t="inlineStr">
        <is>
          <t>No</t>
        </is>
      </c>
      <c r="I364" t="inlineStr">
        <is>
          <t>No</t>
        </is>
      </c>
      <c r="J364" t="inlineStr">
        <is>
          <t>0</t>
        </is>
      </c>
      <c r="L364" t="inlineStr">
        <is>
          <t>Leipzig-Berlin, Verlag Chemie g.m.b.h., 1924-</t>
        </is>
      </c>
      <c r="M364" t="inlineStr">
        <is>
          <t>1924</t>
        </is>
      </c>
      <c r="N364" t="inlineStr">
        <is>
          <t>8. aufl. Hrsg. von der Deutschen chemischen gesellschaft, bearb. von R.J. Meyer, unter beratender mitwirkung von Franz Peters.</t>
        </is>
      </c>
      <c r="O364" t="inlineStr">
        <is>
          <t>ger</t>
        </is>
      </c>
      <c r="P364" t="inlineStr">
        <is>
          <t xml:space="preserve">xx </t>
        </is>
      </c>
      <c r="R364" t="inlineStr">
        <is>
          <t xml:space="preserve">QD </t>
        </is>
      </c>
      <c r="S364" t="n">
        <v>3</v>
      </c>
      <c r="T364" t="n">
        <v>324</v>
      </c>
      <c r="U364" t="inlineStr">
        <is>
          <t>1998-07-27</t>
        </is>
      </c>
      <c r="V364" t="inlineStr">
        <is>
          <t>1998-07-28</t>
        </is>
      </c>
      <c r="W364" t="inlineStr">
        <is>
          <t>1997-06-09</t>
        </is>
      </c>
      <c r="X364" t="inlineStr">
        <is>
          <t>1998-06-24</t>
        </is>
      </c>
      <c r="Y364" t="n">
        <v>259</v>
      </c>
      <c r="Z364" t="n">
        <v>221</v>
      </c>
      <c r="AA364" t="n">
        <v>223</v>
      </c>
      <c r="AB364" t="n">
        <v>2</v>
      </c>
      <c r="AC364" t="n">
        <v>2</v>
      </c>
      <c r="AD364" t="n">
        <v>10</v>
      </c>
      <c r="AE364" t="n">
        <v>10</v>
      </c>
      <c r="AF364" t="n">
        <v>2</v>
      </c>
      <c r="AG364" t="n">
        <v>2</v>
      </c>
      <c r="AH364" t="n">
        <v>2</v>
      </c>
      <c r="AI364" t="n">
        <v>2</v>
      </c>
      <c r="AJ364" t="n">
        <v>8</v>
      </c>
      <c r="AK364" t="n">
        <v>8</v>
      </c>
      <c r="AL364" t="n">
        <v>1</v>
      </c>
      <c r="AM364" t="n">
        <v>1</v>
      </c>
      <c r="AN364" t="n">
        <v>0</v>
      </c>
      <c r="AO364" t="n">
        <v>0</v>
      </c>
      <c r="AP364" t="inlineStr">
        <is>
          <t>No</t>
        </is>
      </c>
      <c r="AQ364" t="inlineStr">
        <is>
          <t>Yes</t>
        </is>
      </c>
      <c r="AR364">
        <f>HYPERLINK("http://catalog.hathitrust.org/Record/009932175","HathiTrust Record")</f>
        <v/>
      </c>
      <c r="AS364">
        <f>HYPERLINK("https://creighton-primo.hosted.exlibrisgroup.com/primo-explore/search?tab=default_tab&amp;search_scope=EVERYTHING&amp;vid=01CRU&amp;lang=en_US&amp;offset=0&amp;query=any,contains,991005356889702656","Catalog Record")</f>
        <v/>
      </c>
      <c r="AT364">
        <f>HYPERLINK("http://www.worldcat.org/oclc/802031","WorldCat Record")</f>
        <v/>
      </c>
      <c r="AU364" t="inlineStr">
        <is>
          <t>4924721893:ger</t>
        </is>
      </c>
      <c r="AV364" t="inlineStr">
        <is>
          <t>802031</t>
        </is>
      </c>
      <c r="AW364" t="inlineStr">
        <is>
          <t>991005356889702656</t>
        </is>
      </c>
      <c r="AX364" t="inlineStr">
        <is>
          <t>991005356889702656</t>
        </is>
      </c>
      <c r="AY364" t="inlineStr">
        <is>
          <t>2270552310002656</t>
        </is>
      </c>
      <c r="AZ364" t="inlineStr">
        <is>
          <t>BOOK</t>
        </is>
      </c>
      <c r="BC364" t="inlineStr">
        <is>
          <t>32285002791985</t>
        </is>
      </c>
      <c r="BD364" t="inlineStr">
        <is>
          <t>893508067</t>
        </is>
      </c>
    </row>
    <row r="365">
      <c r="A365" t="inlineStr">
        <is>
          <t>No</t>
        </is>
      </c>
      <c r="B365" t="inlineStr">
        <is>
          <t>QD151 .G52 NO. 61 PT. B2</t>
        </is>
      </c>
      <c r="C365" t="inlineStr">
        <is>
          <t>0                      QD 0151000G  52                                                      NO. 61 PT. B2</t>
        </is>
      </c>
      <c r="D365" t="inlineStr">
        <is>
          <t>Gmelins Handbuch der anorganischen chemie.</t>
        </is>
      </c>
      <c r="E365" t="inlineStr">
        <is>
          <t>NO. 61 PT. B2*</t>
        </is>
      </c>
      <c r="F365" t="inlineStr">
        <is>
          <t>Yes</t>
        </is>
      </c>
      <c r="G365" t="inlineStr">
        <is>
          <t>1</t>
        </is>
      </c>
      <c r="H365" t="inlineStr">
        <is>
          <t>No</t>
        </is>
      </c>
      <c r="I365" t="inlineStr">
        <is>
          <t>No</t>
        </is>
      </c>
      <c r="J365" t="inlineStr">
        <is>
          <t>0</t>
        </is>
      </c>
      <c r="L365" t="inlineStr">
        <is>
          <t>Leipzig-Berlin, Verlag Chemie g.m.b.h., 1924-</t>
        </is>
      </c>
      <c r="M365" t="inlineStr">
        <is>
          <t>1924</t>
        </is>
      </c>
      <c r="N365" t="inlineStr">
        <is>
          <t>8. aufl. Hrsg. von der Deutschen chemischen gesellschaft, bearb. von R.J. Meyer, unter beratender mitwirkung von Franz Peters.</t>
        </is>
      </c>
      <c r="O365" t="inlineStr">
        <is>
          <t>ger</t>
        </is>
      </c>
      <c r="P365" t="inlineStr">
        <is>
          <t xml:space="preserve">xx </t>
        </is>
      </c>
      <c r="R365" t="inlineStr">
        <is>
          <t xml:space="preserve">QD </t>
        </is>
      </c>
      <c r="S365" t="n">
        <v>1</v>
      </c>
      <c r="T365" t="n">
        <v>324</v>
      </c>
      <c r="U365" t="inlineStr">
        <is>
          <t>1998-07-27</t>
        </is>
      </c>
      <c r="V365" t="inlineStr">
        <is>
          <t>1998-07-28</t>
        </is>
      </c>
      <c r="W365" t="inlineStr">
        <is>
          <t>1997-06-09</t>
        </is>
      </c>
      <c r="X365" t="inlineStr">
        <is>
          <t>1998-06-24</t>
        </is>
      </c>
      <c r="Y365" t="n">
        <v>259</v>
      </c>
      <c r="Z365" t="n">
        <v>221</v>
      </c>
      <c r="AA365" t="n">
        <v>223</v>
      </c>
      <c r="AB365" t="n">
        <v>2</v>
      </c>
      <c r="AC365" t="n">
        <v>2</v>
      </c>
      <c r="AD365" t="n">
        <v>10</v>
      </c>
      <c r="AE365" t="n">
        <v>10</v>
      </c>
      <c r="AF365" t="n">
        <v>2</v>
      </c>
      <c r="AG365" t="n">
        <v>2</v>
      </c>
      <c r="AH365" t="n">
        <v>2</v>
      </c>
      <c r="AI365" t="n">
        <v>2</v>
      </c>
      <c r="AJ365" t="n">
        <v>8</v>
      </c>
      <c r="AK365" t="n">
        <v>8</v>
      </c>
      <c r="AL365" t="n">
        <v>1</v>
      </c>
      <c r="AM365" t="n">
        <v>1</v>
      </c>
      <c r="AN365" t="n">
        <v>0</v>
      </c>
      <c r="AO365" t="n">
        <v>0</v>
      </c>
      <c r="AP365" t="inlineStr">
        <is>
          <t>No</t>
        </is>
      </c>
      <c r="AQ365" t="inlineStr">
        <is>
          <t>Yes</t>
        </is>
      </c>
      <c r="AR365">
        <f>HYPERLINK("http://catalog.hathitrust.org/Record/009932175","HathiTrust Record")</f>
        <v/>
      </c>
      <c r="AS365">
        <f>HYPERLINK("https://creighton-primo.hosted.exlibrisgroup.com/primo-explore/search?tab=default_tab&amp;search_scope=EVERYTHING&amp;vid=01CRU&amp;lang=en_US&amp;offset=0&amp;query=any,contains,991005356889702656","Catalog Record")</f>
        <v/>
      </c>
      <c r="AT365">
        <f>HYPERLINK("http://www.worldcat.org/oclc/802031","WorldCat Record")</f>
        <v/>
      </c>
      <c r="AU365" t="inlineStr">
        <is>
          <t>4924721893:ger</t>
        </is>
      </c>
      <c r="AV365" t="inlineStr">
        <is>
          <t>802031</t>
        </is>
      </c>
      <c r="AW365" t="inlineStr">
        <is>
          <t>991005356889702656</t>
        </is>
      </c>
      <c r="AX365" t="inlineStr">
        <is>
          <t>991005356889702656</t>
        </is>
      </c>
      <c r="AY365" t="inlineStr">
        <is>
          <t>2270552310002656</t>
        </is>
      </c>
      <c r="AZ365" t="inlineStr">
        <is>
          <t>BOOK</t>
        </is>
      </c>
      <c r="BC365" t="inlineStr">
        <is>
          <t>32285002791993</t>
        </is>
      </c>
      <c r="BD365" t="inlineStr">
        <is>
          <t>893520974</t>
        </is>
      </c>
    </row>
    <row r="366">
      <c r="A366" t="inlineStr">
        <is>
          <t>No</t>
        </is>
      </c>
      <c r="B366" t="inlineStr">
        <is>
          <t>QD151 .G52 NO. 61 PT. B3</t>
        </is>
      </c>
      <c r="C366" t="inlineStr">
        <is>
          <t>0                      QD 0151000G  52                                                      NO. 61 PT. B3</t>
        </is>
      </c>
      <c r="D366" t="inlineStr">
        <is>
          <t>Gmelins Handbuch der anorganischen chemie.</t>
        </is>
      </c>
      <c r="E366" t="inlineStr">
        <is>
          <t>NO. 61 PT. B3*</t>
        </is>
      </c>
      <c r="F366" t="inlineStr">
        <is>
          <t>Yes</t>
        </is>
      </c>
      <c r="G366" t="inlineStr">
        <is>
          <t>1</t>
        </is>
      </c>
      <c r="H366" t="inlineStr">
        <is>
          <t>No</t>
        </is>
      </c>
      <c r="I366" t="inlineStr">
        <is>
          <t>No</t>
        </is>
      </c>
      <c r="J366" t="inlineStr">
        <is>
          <t>0</t>
        </is>
      </c>
      <c r="L366" t="inlineStr">
        <is>
          <t>Leipzig-Berlin, Verlag Chemie g.m.b.h., 1924-</t>
        </is>
      </c>
      <c r="M366" t="inlineStr">
        <is>
          <t>1924</t>
        </is>
      </c>
      <c r="N366" t="inlineStr">
        <is>
          <t>8. aufl. Hrsg. von der Deutschen chemischen gesellschaft, bearb. von R.J. Meyer, unter beratender mitwirkung von Franz Peters.</t>
        </is>
      </c>
      <c r="O366" t="inlineStr">
        <is>
          <t>ger</t>
        </is>
      </c>
      <c r="P366" t="inlineStr">
        <is>
          <t xml:space="preserve">xx </t>
        </is>
      </c>
      <c r="R366" t="inlineStr">
        <is>
          <t xml:space="preserve">QD </t>
        </is>
      </c>
      <c r="S366" t="n">
        <v>3</v>
      </c>
      <c r="T366" t="n">
        <v>324</v>
      </c>
      <c r="U366" t="inlineStr">
        <is>
          <t>1998-07-27</t>
        </is>
      </c>
      <c r="V366" t="inlineStr">
        <is>
          <t>1998-07-28</t>
        </is>
      </c>
      <c r="W366" t="inlineStr">
        <is>
          <t>1997-06-09</t>
        </is>
      </c>
      <c r="X366" t="inlineStr">
        <is>
          <t>1998-06-24</t>
        </is>
      </c>
      <c r="Y366" t="n">
        <v>259</v>
      </c>
      <c r="Z366" t="n">
        <v>221</v>
      </c>
      <c r="AA366" t="n">
        <v>223</v>
      </c>
      <c r="AB366" t="n">
        <v>2</v>
      </c>
      <c r="AC366" t="n">
        <v>2</v>
      </c>
      <c r="AD366" t="n">
        <v>10</v>
      </c>
      <c r="AE366" t="n">
        <v>10</v>
      </c>
      <c r="AF366" t="n">
        <v>2</v>
      </c>
      <c r="AG366" t="n">
        <v>2</v>
      </c>
      <c r="AH366" t="n">
        <v>2</v>
      </c>
      <c r="AI366" t="n">
        <v>2</v>
      </c>
      <c r="AJ366" t="n">
        <v>8</v>
      </c>
      <c r="AK366" t="n">
        <v>8</v>
      </c>
      <c r="AL366" t="n">
        <v>1</v>
      </c>
      <c r="AM366" t="n">
        <v>1</v>
      </c>
      <c r="AN366" t="n">
        <v>0</v>
      </c>
      <c r="AO366" t="n">
        <v>0</v>
      </c>
      <c r="AP366" t="inlineStr">
        <is>
          <t>No</t>
        </is>
      </c>
      <c r="AQ366" t="inlineStr">
        <is>
          <t>Yes</t>
        </is>
      </c>
      <c r="AR366">
        <f>HYPERLINK("http://catalog.hathitrust.org/Record/009932175","HathiTrust Record")</f>
        <v/>
      </c>
      <c r="AS366">
        <f>HYPERLINK("https://creighton-primo.hosted.exlibrisgroup.com/primo-explore/search?tab=default_tab&amp;search_scope=EVERYTHING&amp;vid=01CRU&amp;lang=en_US&amp;offset=0&amp;query=any,contains,991005356889702656","Catalog Record")</f>
        <v/>
      </c>
      <c r="AT366">
        <f>HYPERLINK("http://www.worldcat.org/oclc/802031","WorldCat Record")</f>
        <v/>
      </c>
      <c r="AU366" t="inlineStr">
        <is>
          <t>4924721893:ger</t>
        </is>
      </c>
      <c r="AV366" t="inlineStr">
        <is>
          <t>802031</t>
        </is>
      </c>
      <c r="AW366" t="inlineStr">
        <is>
          <t>991005356889702656</t>
        </is>
      </c>
      <c r="AX366" t="inlineStr">
        <is>
          <t>991005356889702656</t>
        </is>
      </c>
      <c r="AY366" t="inlineStr">
        <is>
          <t>2270552310002656</t>
        </is>
      </c>
      <c r="AZ366" t="inlineStr">
        <is>
          <t>BOOK</t>
        </is>
      </c>
      <c r="BC366" t="inlineStr">
        <is>
          <t>32285002792009</t>
        </is>
      </c>
      <c r="BD366" t="inlineStr">
        <is>
          <t>893514537</t>
        </is>
      </c>
    </row>
    <row r="367">
      <c r="A367" t="inlineStr">
        <is>
          <t>No</t>
        </is>
      </c>
      <c r="B367" t="inlineStr">
        <is>
          <t>QD151 .G52 NO. 61 PT. B4</t>
        </is>
      </c>
      <c r="C367" t="inlineStr">
        <is>
          <t>0                      QD 0151000G  52                                                      NO. 61 PT. B4</t>
        </is>
      </c>
      <c r="D367" t="inlineStr">
        <is>
          <t>Gmelins Handbuch der anorganischen chemie.</t>
        </is>
      </c>
      <c r="E367" t="inlineStr">
        <is>
          <t>NO. 61 PT. B4*</t>
        </is>
      </c>
      <c r="F367" t="inlineStr">
        <is>
          <t>Yes</t>
        </is>
      </c>
      <c r="G367" t="inlineStr">
        <is>
          <t>1</t>
        </is>
      </c>
      <c r="H367" t="inlineStr">
        <is>
          <t>No</t>
        </is>
      </c>
      <c r="I367" t="inlineStr">
        <is>
          <t>No</t>
        </is>
      </c>
      <c r="J367" t="inlineStr">
        <is>
          <t>0</t>
        </is>
      </c>
      <c r="L367" t="inlineStr">
        <is>
          <t>Leipzig-Berlin, Verlag Chemie g.m.b.h., 1924-</t>
        </is>
      </c>
      <c r="M367" t="inlineStr">
        <is>
          <t>1924</t>
        </is>
      </c>
      <c r="N367" t="inlineStr">
        <is>
          <t>8. aufl. Hrsg. von der Deutschen chemischen gesellschaft, bearb. von R.J. Meyer, unter beratender mitwirkung von Franz Peters.</t>
        </is>
      </c>
      <c r="O367" t="inlineStr">
        <is>
          <t>ger</t>
        </is>
      </c>
      <c r="P367" t="inlineStr">
        <is>
          <t xml:space="preserve">xx </t>
        </is>
      </c>
      <c r="R367" t="inlineStr">
        <is>
          <t xml:space="preserve">QD </t>
        </is>
      </c>
      <c r="S367" t="n">
        <v>1</v>
      </c>
      <c r="T367" t="n">
        <v>324</v>
      </c>
      <c r="U367" t="inlineStr">
        <is>
          <t>1998-07-27</t>
        </is>
      </c>
      <c r="V367" t="inlineStr">
        <is>
          <t>1998-07-28</t>
        </is>
      </c>
      <c r="W367" t="inlineStr">
        <is>
          <t>1997-06-09</t>
        </is>
      </c>
      <c r="X367" t="inlineStr">
        <is>
          <t>1998-06-24</t>
        </is>
      </c>
      <c r="Y367" t="n">
        <v>259</v>
      </c>
      <c r="Z367" t="n">
        <v>221</v>
      </c>
      <c r="AA367" t="n">
        <v>223</v>
      </c>
      <c r="AB367" t="n">
        <v>2</v>
      </c>
      <c r="AC367" t="n">
        <v>2</v>
      </c>
      <c r="AD367" t="n">
        <v>10</v>
      </c>
      <c r="AE367" t="n">
        <v>10</v>
      </c>
      <c r="AF367" t="n">
        <v>2</v>
      </c>
      <c r="AG367" t="n">
        <v>2</v>
      </c>
      <c r="AH367" t="n">
        <v>2</v>
      </c>
      <c r="AI367" t="n">
        <v>2</v>
      </c>
      <c r="AJ367" t="n">
        <v>8</v>
      </c>
      <c r="AK367" t="n">
        <v>8</v>
      </c>
      <c r="AL367" t="n">
        <v>1</v>
      </c>
      <c r="AM367" t="n">
        <v>1</v>
      </c>
      <c r="AN367" t="n">
        <v>0</v>
      </c>
      <c r="AO367" t="n">
        <v>0</v>
      </c>
      <c r="AP367" t="inlineStr">
        <is>
          <t>No</t>
        </is>
      </c>
      <c r="AQ367" t="inlineStr">
        <is>
          <t>Yes</t>
        </is>
      </c>
      <c r="AR367">
        <f>HYPERLINK("http://catalog.hathitrust.org/Record/009932175","HathiTrust Record")</f>
        <v/>
      </c>
      <c r="AS367">
        <f>HYPERLINK("https://creighton-primo.hosted.exlibrisgroup.com/primo-explore/search?tab=default_tab&amp;search_scope=EVERYTHING&amp;vid=01CRU&amp;lang=en_US&amp;offset=0&amp;query=any,contains,991005356889702656","Catalog Record")</f>
        <v/>
      </c>
      <c r="AT367">
        <f>HYPERLINK("http://www.worldcat.org/oclc/802031","WorldCat Record")</f>
        <v/>
      </c>
      <c r="AU367" t="inlineStr">
        <is>
          <t>4924721893:ger</t>
        </is>
      </c>
      <c r="AV367" t="inlineStr">
        <is>
          <t>802031</t>
        </is>
      </c>
      <c r="AW367" t="inlineStr">
        <is>
          <t>991005356889702656</t>
        </is>
      </c>
      <c r="AX367" t="inlineStr">
        <is>
          <t>991005356889702656</t>
        </is>
      </c>
      <c r="AY367" t="inlineStr">
        <is>
          <t>2270552310002656</t>
        </is>
      </c>
      <c r="AZ367" t="inlineStr">
        <is>
          <t>BOOK</t>
        </is>
      </c>
      <c r="BC367" t="inlineStr">
        <is>
          <t>32285002791977</t>
        </is>
      </c>
      <c r="BD367" t="inlineStr">
        <is>
          <t>893501791</t>
        </is>
      </c>
    </row>
    <row r="368">
      <c r="A368" t="inlineStr">
        <is>
          <t>No</t>
        </is>
      </c>
      <c r="B368" t="inlineStr">
        <is>
          <t>QD151 .G52 NO. 61 PT. B5</t>
        </is>
      </c>
      <c r="C368" t="inlineStr">
        <is>
          <t>0                      QD 0151000G  52                                                      NO. 61 PT. B5</t>
        </is>
      </c>
      <c r="D368" t="inlineStr">
        <is>
          <t>Gmelins Handbuch der anorganischen chemie.</t>
        </is>
      </c>
      <c r="E368" t="inlineStr">
        <is>
          <t>NO. 61 PT. B5*</t>
        </is>
      </c>
      <c r="F368" t="inlineStr">
        <is>
          <t>Yes</t>
        </is>
      </c>
      <c r="G368" t="inlineStr">
        <is>
          <t>1</t>
        </is>
      </c>
      <c r="H368" t="inlineStr">
        <is>
          <t>No</t>
        </is>
      </c>
      <c r="I368" t="inlineStr">
        <is>
          <t>No</t>
        </is>
      </c>
      <c r="J368" t="inlineStr">
        <is>
          <t>0</t>
        </is>
      </c>
      <c r="L368" t="inlineStr">
        <is>
          <t>Leipzig-Berlin, Verlag Chemie g.m.b.h., 1924-</t>
        </is>
      </c>
      <c r="M368" t="inlineStr">
        <is>
          <t>1924</t>
        </is>
      </c>
      <c r="N368" t="inlineStr">
        <is>
          <t>8. aufl. Hrsg. von der Deutschen chemischen gesellschaft, bearb. von R.J. Meyer, unter beratender mitwirkung von Franz Peters.</t>
        </is>
      </c>
      <c r="O368" t="inlineStr">
        <is>
          <t>ger</t>
        </is>
      </c>
      <c r="P368" t="inlineStr">
        <is>
          <t xml:space="preserve">xx </t>
        </is>
      </c>
      <c r="R368" t="inlineStr">
        <is>
          <t xml:space="preserve">QD </t>
        </is>
      </c>
      <c r="S368" t="n">
        <v>1</v>
      </c>
      <c r="T368" t="n">
        <v>324</v>
      </c>
      <c r="U368" t="inlineStr">
        <is>
          <t>1998-07-27</t>
        </is>
      </c>
      <c r="V368" t="inlineStr">
        <is>
          <t>1998-07-28</t>
        </is>
      </c>
      <c r="W368" t="inlineStr">
        <is>
          <t>1997-06-09</t>
        </is>
      </c>
      <c r="X368" t="inlineStr">
        <is>
          <t>1998-06-24</t>
        </is>
      </c>
      <c r="Y368" t="n">
        <v>259</v>
      </c>
      <c r="Z368" t="n">
        <v>221</v>
      </c>
      <c r="AA368" t="n">
        <v>223</v>
      </c>
      <c r="AB368" t="n">
        <v>2</v>
      </c>
      <c r="AC368" t="n">
        <v>2</v>
      </c>
      <c r="AD368" t="n">
        <v>10</v>
      </c>
      <c r="AE368" t="n">
        <v>10</v>
      </c>
      <c r="AF368" t="n">
        <v>2</v>
      </c>
      <c r="AG368" t="n">
        <v>2</v>
      </c>
      <c r="AH368" t="n">
        <v>2</v>
      </c>
      <c r="AI368" t="n">
        <v>2</v>
      </c>
      <c r="AJ368" t="n">
        <v>8</v>
      </c>
      <c r="AK368" t="n">
        <v>8</v>
      </c>
      <c r="AL368" t="n">
        <v>1</v>
      </c>
      <c r="AM368" t="n">
        <v>1</v>
      </c>
      <c r="AN368" t="n">
        <v>0</v>
      </c>
      <c r="AO368" t="n">
        <v>0</v>
      </c>
      <c r="AP368" t="inlineStr">
        <is>
          <t>No</t>
        </is>
      </c>
      <c r="AQ368" t="inlineStr">
        <is>
          <t>Yes</t>
        </is>
      </c>
      <c r="AR368">
        <f>HYPERLINK("http://catalog.hathitrust.org/Record/009932175","HathiTrust Record")</f>
        <v/>
      </c>
      <c r="AS368">
        <f>HYPERLINK("https://creighton-primo.hosted.exlibrisgroup.com/primo-explore/search?tab=default_tab&amp;search_scope=EVERYTHING&amp;vid=01CRU&amp;lang=en_US&amp;offset=0&amp;query=any,contains,991005356889702656","Catalog Record")</f>
        <v/>
      </c>
      <c r="AT368">
        <f>HYPERLINK("http://www.worldcat.org/oclc/802031","WorldCat Record")</f>
        <v/>
      </c>
      <c r="AU368" t="inlineStr">
        <is>
          <t>4924721893:ger</t>
        </is>
      </c>
      <c r="AV368" t="inlineStr">
        <is>
          <t>802031</t>
        </is>
      </c>
      <c r="AW368" t="inlineStr">
        <is>
          <t>991005356889702656</t>
        </is>
      </c>
      <c r="AX368" t="inlineStr">
        <is>
          <t>991005356889702656</t>
        </is>
      </c>
      <c r="AY368" t="inlineStr">
        <is>
          <t>2270552310002656</t>
        </is>
      </c>
      <c r="AZ368" t="inlineStr">
        <is>
          <t>BOOK</t>
        </is>
      </c>
      <c r="BC368" t="inlineStr">
        <is>
          <t>32285002792017</t>
        </is>
      </c>
      <c r="BD368" t="inlineStr">
        <is>
          <t>893520940</t>
        </is>
      </c>
    </row>
    <row r="369">
      <c r="A369" t="inlineStr">
        <is>
          <t>No</t>
        </is>
      </c>
      <c r="B369" t="inlineStr">
        <is>
          <t>QD151 .G52 NO. 61 PT. B6</t>
        </is>
      </c>
      <c r="C369" t="inlineStr">
        <is>
          <t>0                      QD 0151000G  52                                                      NO. 61 PT. B6</t>
        </is>
      </c>
      <c r="D369" t="inlineStr">
        <is>
          <t>Gmelins Handbuch der anorganischen chemie.</t>
        </is>
      </c>
      <c r="E369" t="inlineStr">
        <is>
          <t>NO. 61 PT. B6*</t>
        </is>
      </c>
      <c r="F369" t="inlineStr">
        <is>
          <t>Yes</t>
        </is>
      </c>
      <c r="G369" t="inlineStr">
        <is>
          <t>1</t>
        </is>
      </c>
      <c r="H369" t="inlineStr">
        <is>
          <t>No</t>
        </is>
      </c>
      <c r="I369" t="inlineStr">
        <is>
          <t>No</t>
        </is>
      </c>
      <c r="J369" t="inlineStr">
        <is>
          <t>0</t>
        </is>
      </c>
      <c r="L369" t="inlineStr">
        <is>
          <t>Leipzig-Berlin, Verlag Chemie g.m.b.h., 1924-</t>
        </is>
      </c>
      <c r="M369" t="inlineStr">
        <is>
          <t>1924</t>
        </is>
      </c>
      <c r="N369" t="inlineStr">
        <is>
          <t>8. aufl. Hrsg. von der Deutschen chemischen gesellschaft, bearb. von R.J. Meyer, unter beratender mitwirkung von Franz Peters.</t>
        </is>
      </c>
      <c r="O369" t="inlineStr">
        <is>
          <t>ger</t>
        </is>
      </c>
      <c r="P369" t="inlineStr">
        <is>
          <t xml:space="preserve">xx </t>
        </is>
      </c>
      <c r="R369" t="inlineStr">
        <is>
          <t xml:space="preserve">QD </t>
        </is>
      </c>
      <c r="S369" t="n">
        <v>1</v>
      </c>
      <c r="T369" t="n">
        <v>324</v>
      </c>
      <c r="U369" t="inlineStr">
        <is>
          <t>1998-07-27</t>
        </is>
      </c>
      <c r="V369" t="inlineStr">
        <is>
          <t>1998-07-28</t>
        </is>
      </c>
      <c r="W369" t="inlineStr">
        <is>
          <t>1997-06-09</t>
        </is>
      </c>
      <c r="X369" t="inlineStr">
        <is>
          <t>1998-06-24</t>
        </is>
      </c>
      <c r="Y369" t="n">
        <v>259</v>
      </c>
      <c r="Z369" t="n">
        <v>221</v>
      </c>
      <c r="AA369" t="n">
        <v>223</v>
      </c>
      <c r="AB369" t="n">
        <v>2</v>
      </c>
      <c r="AC369" t="n">
        <v>2</v>
      </c>
      <c r="AD369" t="n">
        <v>10</v>
      </c>
      <c r="AE369" t="n">
        <v>10</v>
      </c>
      <c r="AF369" t="n">
        <v>2</v>
      </c>
      <c r="AG369" t="n">
        <v>2</v>
      </c>
      <c r="AH369" t="n">
        <v>2</v>
      </c>
      <c r="AI369" t="n">
        <v>2</v>
      </c>
      <c r="AJ369" t="n">
        <v>8</v>
      </c>
      <c r="AK369" t="n">
        <v>8</v>
      </c>
      <c r="AL369" t="n">
        <v>1</v>
      </c>
      <c r="AM369" t="n">
        <v>1</v>
      </c>
      <c r="AN369" t="n">
        <v>0</v>
      </c>
      <c r="AO369" t="n">
        <v>0</v>
      </c>
      <c r="AP369" t="inlineStr">
        <is>
          <t>No</t>
        </is>
      </c>
      <c r="AQ369" t="inlineStr">
        <is>
          <t>Yes</t>
        </is>
      </c>
      <c r="AR369">
        <f>HYPERLINK("http://catalog.hathitrust.org/Record/009932175","HathiTrust Record")</f>
        <v/>
      </c>
      <c r="AS369">
        <f>HYPERLINK("https://creighton-primo.hosted.exlibrisgroup.com/primo-explore/search?tab=default_tab&amp;search_scope=EVERYTHING&amp;vid=01CRU&amp;lang=en_US&amp;offset=0&amp;query=any,contains,991005356889702656","Catalog Record")</f>
        <v/>
      </c>
      <c r="AT369">
        <f>HYPERLINK("http://www.worldcat.org/oclc/802031","WorldCat Record")</f>
        <v/>
      </c>
      <c r="AU369" t="inlineStr">
        <is>
          <t>4924721893:ger</t>
        </is>
      </c>
      <c r="AV369" t="inlineStr">
        <is>
          <t>802031</t>
        </is>
      </c>
      <c r="AW369" t="inlineStr">
        <is>
          <t>991005356889702656</t>
        </is>
      </c>
      <c r="AX369" t="inlineStr">
        <is>
          <t>991005356889702656</t>
        </is>
      </c>
      <c r="AY369" t="inlineStr">
        <is>
          <t>2270552310002656</t>
        </is>
      </c>
      <c r="AZ369" t="inlineStr">
        <is>
          <t>BOOK</t>
        </is>
      </c>
      <c r="BC369" t="inlineStr">
        <is>
          <t>32285002792025</t>
        </is>
      </c>
      <c r="BD369" t="inlineStr">
        <is>
          <t>893501790</t>
        </is>
      </c>
    </row>
    <row r="370">
      <c r="A370" t="inlineStr">
        <is>
          <t>No</t>
        </is>
      </c>
      <c r="B370" t="inlineStr">
        <is>
          <t>QD151 .G52 NO. 61 PT. B7</t>
        </is>
      </c>
      <c r="C370" t="inlineStr">
        <is>
          <t>0                      QD 0151000G  52                                                      NO. 61 PT. B7</t>
        </is>
      </c>
      <c r="D370" t="inlineStr">
        <is>
          <t>Gmelins Handbuch der anorganischen chemie.</t>
        </is>
      </c>
      <c r="E370" t="inlineStr">
        <is>
          <t>NO. 61 PT. B7*</t>
        </is>
      </c>
      <c r="F370" t="inlineStr">
        <is>
          <t>Yes</t>
        </is>
      </c>
      <c r="G370" t="inlineStr">
        <is>
          <t>1</t>
        </is>
      </c>
      <c r="H370" t="inlineStr">
        <is>
          <t>No</t>
        </is>
      </c>
      <c r="I370" t="inlineStr">
        <is>
          <t>No</t>
        </is>
      </c>
      <c r="J370" t="inlineStr">
        <is>
          <t>0</t>
        </is>
      </c>
      <c r="L370" t="inlineStr">
        <is>
          <t>Leipzig-Berlin, Verlag Chemie g.m.b.h., 1924-</t>
        </is>
      </c>
      <c r="M370" t="inlineStr">
        <is>
          <t>1924</t>
        </is>
      </c>
      <c r="N370" t="inlineStr">
        <is>
          <t>8. aufl. Hrsg. von der Deutschen chemischen gesellschaft, bearb. von R.J. Meyer, unter beratender mitwirkung von Franz Peters.</t>
        </is>
      </c>
      <c r="O370" t="inlineStr">
        <is>
          <t>ger</t>
        </is>
      </c>
      <c r="P370" t="inlineStr">
        <is>
          <t xml:space="preserve">xx </t>
        </is>
      </c>
      <c r="R370" t="inlineStr">
        <is>
          <t xml:space="preserve">QD </t>
        </is>
      </c>
      <c r="S370" t="n">
        <v>1</v>
      </c>
      <c r="T370" t="n">
        <v>324</v>
      </c>
      <c r="U370" t="inlineStr">
        <is>
          <t>1998-07-27</t>
        </is>
      </c>
      <c r="V370" t="inlineStr">
        <is>
          <t>1998-07-28</t>
        </is>
      </c>
      <c r="W370" t="inlineStr">
        <is>
          <t>1997-06-09</t>
        </is>
      </c>
      <c r="X370" t="inlineStr">
        <is>
          <t>1998-06-24</t>
        </is>
      </c>
      <c r="Y370" t="n">
        <v>259</v>
      </c>
      <c r="Z370" t="n">
        <v>221</v>
      </c>
      <c r="AA370" t="n">
        <v>223</v>
      </c>
      <c r="AB370" t="n">
        <v>2</v>
      </c>
      <c r="AC370" t="n">
        <v>2</v>
      </c>
      <c r="AD370" t="n">
        <v>10</v>
      </c>
      <c r="AE370" t="n">
        <v>10</v>
      </c>
      <c r="AF370" t="n">
        <v>2</v>
      </c>
      <c r="AG370" t="n">
        <v>2</v>
      </c>
      <c r="AH370" t="n">
        <v>2</v>
      </c>
      <c r="AI370" t="n">
        <v>2</v>
      </c>
      <c r="AJ370" t="n">
        <v>8</v>
      </c>
      <c r="AK370" t="n">
        <v>8</v>
      </c>
      <c r="AL370" t="n">
        <v>1</v>
      </c>
      <c r="AM370" t="n">
        <v>1</v>
      </c>
      <c r="AN370" t="n">
        <v>0</v>
      </c>
      <c r="AO370" t="n">
        <v>0</v>
      </c>
      <c r="AP370" t="inlineStr">
        <is>
          <t>No</t>
        </is>
      </c>
      <c r="AQ370" t="inlineStr">
        <is>
          <t>Yes</t>
        </is>
      </c>
      <c r="AR370">
        <f>HYPERLINK("http://catalog.hathitrust.org/Record/009932175","HathiTrust Record")</f>
        <v/>
      </c>
      <c r="AS370">
        <f>HYPERLINK("https://creighton-primo.hosted.exlibrisgroup.com/primo-explore/search?tab=default_tab&amp;search_scope=EVERYTHING&amp;vid=01CRU&amp;lang=en_US&amp;offset=0&amp;query=any,contains,991005356889702656","Catalog Record")</f>
        <v/>
      </c>
      <c r="AT370">
        <f>HYPERLINK("http://www.worldcat.org/oclc/802031","WorldCat Record")</f>
        <v/>
      </c>
      <c r="AU370" t="inlineStr">
        <is>
          <t>4924721893:ger</t>
        </is>
      </c>
      <c r="AV370" t="inlineStr">
        <is>
          <t>802031</t>
        </is>
      </c>
      <c r="AW370" t="inlineStr">
        <is>
          <t>991005356889702656</t>
        </is>
      </c>
      <c r="AX370" t="inlineStr">
        <is>
          <t>991005356889702656</t>
        </is>
      </c>
      <c r="AY370" t="inlineStr">
        <is>
          <t>2270552310002656</t>
        </is>
      </c>
      <c r="AZ370" t="inlineStr">
        <is>
          <t>BOOK</t>
        </is>
      </c>
      <c r="BC370" t="inlineStr">
        <is>
          <t>32285002792033</t>
        </is>
      </c>
      <c r="BD370" t="inlineStr">
        <is>
          <t>893501789</t>
        </is>
      </c>
    </row>
    <row r="371">
      <c r="A371" t="inlineStr">
        <is>
          <t>No</t>
        </is>
      </c>
      <c r="B371" t="inlineStr">
        <is>
          <t>QD151 .G52 NO. 61 PT. C</t>
        </is>
      </c>
      <c r="C371" t="inlineStr">
        <is>
          <t>0                      QD 0151000G  52                                                      NO. 61 PT. C</t>
        </is>
      </c>
      <c r="D371" t="inlineStr">
        <is>
          <t>Gmelins Handbuch der anorganischen chemie.</t>
        </is>
      </c>
      <c r="E371" t="inlineStr">
        <is>
          <t>NO. 61 PT. C*</t>
        </is>
      </c>
      <c r="F371" t="inlineStr">
        <is>
          <t>Yes</t>
        </is>
      </c>
      <c r="G371" t="inlineStr">
        <is>
          <t>1</t>
        </is>
      </c>
      <c r="H371" t="inlineStr">
        <is>
          <t>No</t>
        </is>
      </c>
      <c r="I371" t="inlineStr">
        <is>
          <t>No</t>
        </is>
      </c>
      <c r="J371" t="inlineStr">
        <is>
          <t>0</t>
        </is>
      </c>
      <c r="L371" t="inlineStr">
        <is>
          <t>Leipzig-Berlin, Verlag Chemie g.m.b.h., 1924-</t>
        </is>
      </c>
      <c r="M371" t="inlineStr">
        <is>
          <t>1924</t>
        </is>
      </c>
      <c r="N371" t="inlineStr">
        <is>
          <t>8. aufl. Hrsg. von der Deutschen chemischen gesellschaft, bearb. von R.J. Meyer, unter beratender mitwirkung von Franz Peters.</t>
        </is>
      </c>
      <c r="O371" t="inlineStr">
        <is>
          <t>ger</t>
        </is>
      </c>
      <c r="P371" t="inlineStr">
        <is>
          <t xml:space="preserve">xx </t>
        </is>
      </c>
      <c r="R371" t="inlineStr">
        <is>
          <t xml:space="preserve">QD </t>
        </is>
      </c>
      <c r="S371" t="n">
        <v>1</v>
      </c>
      <c r="T371" t="n">
        <v>324</v>
      </c>
      <c r="U371" t="inlineStr">
        <is>
          <t>1998-07-27</t>
        </is>
      </c>
      <c r="V371" t="inlineStr">
        <is>
          <t>1998-07-28</t>
        </is>
      </c>
      <c r="W371" t="inlineStr">
        <is>
          <t>1997-06-09</t>
        </is>
      </c>
      <c r="X371" t="inlineStr">
        <is>
          <t>1998-06-24</t>
        </is>
      </c>
      <c r="Y371" t="n">
        <v>259</v>
      </c>
      <c r="Z371" t="n">
        <v>221</v>
      </c>
      <c r="AA371" t="n">
        <v>223</v>
      </c>
      <c r="AB371" t="n">
        <v>2</v>
      </c>
      <c r="AC371" t="n">
        <v>2</v>
      </c>
      <c r="AD371" t="n">
        <v>10</v>
      </c>
      <c r="AE371" t="n">
        <v>10</v>
      </c>
      <c r="AF371" t="n">
        <v>2</v>
      </c>
      <c r="AG371" t="n">
        <v>2</v>
      </c>
      <c r="AH371" t="n">
        <v>2</v>
      </c>
      <c r="AI371" t="n">
        <v>2</v>
      </c>
      <c r="AJ371" t="n">
        <v>8</v>
      </c>
      <c r="AK371" t="n">
        <v>8</v>
      </c>
      <c r="AL371" t="n">
        <v>1</v>
      </c>
      <c r="AM371" t="n">
        <v>1</v>
      </c>
      <c r="AN371" t="n">
        <v>0</v>
      </c>
      <c r="AO371" t="n">
        <v>0</v>
      </c>
      <c r="AP371" t="inlineStr">
        <is>
          <t>No</t>
        </is>
      </c>
      <c r="AQ371" t="inlineStr">
        <is>
          <t>Yes</t>
        </is>
      </c>
      <c r="AR371">
        <f>HYPERLINK("http://catalog.hathitrust.org/Record/009932175","HathiTrust Record")</f>
        <v/>
      </c>
      <c r="AS371">
        <f>HYPERLINK("https://creighton-primo.hosted.exlibrisgroup.com/primo-explore/search?tab=default_tab&amp;search_scope=EVERYTHING&amp;vid=01CRU&amp;lang=en_US&amp;offset=0&amp;query=any,contains,991005356889702656","Catalog Record")</f>
        <v/>
      </c>
      <c r="AT371">
        <f>HYPERLINK("http://www.worldcat.org/oclc/802031","WorldCat Record")</f>
        <v/>
      </c>
      <c r="AU371" t="inlineStr">
        <is>
          <t>4924721893:ger</t>
        </is>
      </c>
      <c r="AV371" t="inlineStr">
        <is>
          <t>802031</t>
        </is>
      </c>
      <c r="AW371" t="inlineStr">
        <is>
          <t>991005356889702656</t>
        </is>
      </c>
      <c r="AX371" t="inlineStr">
        <is>
          <t>991005356889702656</t>
        </is>
      </c>
      <c r="AY371" t="inlineStr">
        <is>
          <t>2270552310002656</t>
        </is>
      </c>
      <c r="AZ371" t="inlineStr">
        <is>
          <t>BOOK</t>
        </is>
      </c>
      <c r="BC371" t="inlineStr">
        <is>
          <t>32285002792041</t>
        </is>
      </c>
      <c r="BD371" t="inlineStr">
        <is>
          <t>893508066</t>
        </is>
      </c>
    </row>
    <row r="372">
      <c r="A372" t="inlineStr">
        <is>
          <t>No</t>
        </is>
      </c>
      <c r="B372" t="inlineStr">
        <is>
          <t>QD151 .G52 NO. 62 SECT. 1</t>
        </is>
      </c>
      <c r="C372" t="inlineStr">
        <is>
          <t>0                      QD 0151000G  52                                                      NO. 62 SECT. 1</t>
        </is>
      </c>
      <c r="D372" t="inlineStr">
        <is>
          <t>Gmelins Handbuch der anorganischen chemie.</t>
        </is>
      </c>
      <c r="E372" t="inlineStr">
        <is>
          <t>NO. 62 SECT. 1*</t>
        </is>
      </c>
      <c r="F372" t="inlineStr">
        <is>
          <t>Yes</t>
        </is>
      </c>
      <c r="G372" t="inlineStr">
        <is>
          <t>1</t>
        </is>
      </c>
      <c r="H372" t="inlineStr">
        <is>
          <t>No</t>
        </is>
      </c>
      <c r="I372" t="inlineStr">
        <is>
          <t>No</t>
        </is>
      </c>
      <c r="J372" t="inlineStr">
        <is>
          <t>0</t>
        </is>
      </c>
      <c r="L372" t="inlineStr">
        <is>
          <t>Leipzig-Berlin, Verlag Chemie g.m.b.h., 1924-</t>
        </is>
      </c>
      <c r="M372" t="inlineStr">
        <is>
          <t>1924</t>
        </is>
      </c>
      <c r="N372" t="inlineStr">
        <is>
          <t>8. aufl. Hrsg. von der Deutschen chemischen gesellschaft, bearb. von R.J. Meyer, unter beratender mitwirkung von Franz Peters.</t>
        </is>
      </c>
      <c r="O372" t="inlineStr">
        <is>
          <t>ger</t>
        </is>
      </c>
      <c r="P372" t="inlineStr">
        <is>
          <t xml:space="preserve">xx </t>
        </is>
      </c>
      <c r="R372" t="inlineStr">
        <is>
          <t xml:space="preserve">QD </t>
        </is>
      </c>
      <c r="S372" t="n">
        <v>1</v>
      </c>
      <c r="T372" t="n">
        <v>324</v>
      </c>
      <c r="U372" t="inlineStr">
        <is>
          <t>1998-07-27</t>
        </is>
      </c>
      <c r="V372" t="inlineStr">
        <is>
          <t>1998-07-28</t>
        </is>
      </c>
      <c r="W372" t="inlineStr">
        <is>
          <t>1997-06-09</t>
        </is>
      </c>
      <c r="X372" t="inlineStr">
        <is>
          <t>1998-06-24</t>
        </is>
      </c>
      <c r="Y372" t="n">
        <v>259</v>
      </c>
      <c r="Z372" t="n">
        <v>221</v>
      </c>
      <c r="AA372" t="n">
        <v>223</v>
      </c>
      <c r="AB372" t="n">
        <v>2</v>
      </c>
      <c r="AC372" t="n">
        <v>2</v>
      </c>
      <c r="AD372" t="n">
        <v>10</v>
      </c>
      <c r="AE372" t="n">
        <v>10</v>
      </c>
      <c r="AF372" t="n">
        <v>2</v>
      </c>
      <c r="AG372" t="n">
        <v>2</v>
      </c>
      <c r="AH372" t="n">
        <v>2</v>
      </c>
      <c r="AI372" t="n">
        <v>2</v>
      </c>
      <c r="AJ372" t="n">
        <v>8</v>
      </c>
      <c r="AK372" t="n">
        <v>8</v>
      </c>
      <c r="AL372" t="n">
        <v>1</v>
      </c>
      <c r="AM372" t="n">
        <v>1</v>
      </c>
      <c r="AN372" t="n">
        <v>0</v>
      </c>
      <c r="AO372" t="n">
        <v>0</v>
      </c>
      <c r="AP372" t="inlineStr">
        <is>
          <t>No</t>
        </is>
      </c>
      <c r="AQ372" t="inlineStr">
        <is>
          <t>Yes</t>
        </is>
      </c>
      <c r="AR372">
        <f>HYPERLINK("http://catalog.hathitrust.org/Record/009932175","HathiTrust Record")</f>
        <v/>
      </c>
      <c r="AS372">
        <f>HYPERLINK("https://creighton-primo.hosted.exlibrisgroup.com/primo-explore/search?tab=default_tab&amp;search_scope=EVERYTHING&amp;vid=01CRU&amp;lang=en_US&amp;offset=0&amp;query=any,contains,991005356889702656","Catalog Record")</f>
        <v/>
      </c>
      <c r="AT372">
        <f>HYPERLINK("http://www.worldcat.org/oclc/802031","WorldCat Record")</f>
        <v/>
      </c>
      <c r="AU372" t="inlineStr">
        <is>
          <t>4924721893:ger</t>
        </is>
      </c>
      <c r="AV372" t="inlineStr">
        <is>
          <t>802031</t>
        </is>
      </c>
      <c r="AW372" t="inlineStr">
        <is>
          <t>991005356889702656</t>
        </is>
      </c>
      <c r="AX372" t="inlineStr">
        <is>
          <t>991005356889702656</t>
        </is>
      </c>
      <c r="AY372" t="inlineStr">
        <is>
          <t>2270552310002656</t>
        </is>
      </c>
      <c r="AZ372" t="inlineStr">
        <is>
          <t>BOOK</t>
        </is>
      </c>
      <c r="BC372" t="inlineStr">
        <is>
          <t>32285002792058</t>
        </is>
      </c>
      <c r="BD372" t="inlineStr">
        <is>
          <t>893527434</t>
        </is>
      </c>
    </row>
    <row r="373">
      <c r="A373" t="inlineStr">
        <is>
          <t>No</t>
        </is>
      </c>
      <c r="B373" t="inlineStr">
        <is>
          <t>QD151 .G52 NO. 62 SECT. 2</t>
        </is>
      </c>
      <c r="C373" t="inlineStr">
        <is>
          <t>0                      QD 0151000G  52                                                      NO. 62 SECT. 2</t>
        </is>
      </c>
      <c r="D373" t="inlineStr">
        <is>
          <t>Gmelins Handbuch der anorganischen chemie.</t>
        </is>
      </c>
      <c r="E373" t="inlineStr">
        <is>
          <t>NO. 62 SECT. 2*</t>
        </is>
      </c>
      <c r="F373" t="inlineStr">
        <is>
          <t>Yes</t>
        </is>
      </c>
      <c r="G373" t="inlineStr">
        <is>
          <t>1</t>
        </is>
      </c>
      <c r="H373" t="inlineStr">
        <is>
          <t>No</t>
        </is>
      </c>
      <c r="I373" t="inlineStr">
        <is>
          <t>No</t>
        </is>
      </c>
      <c r="J373" t="inlineStr">
        <is>
          <t>0</t>
        </is>
      </c>
      <c r="L373" t="inlineStr">
        <is>
          <t>Leipzig-Berlin, Verlag Chemie g.m.b.h., 1924-</t>
        </is>
      </c>
      <c r="M373" t="inlineStr">
        <is>
          <t>1924</t>
        </is>
      </c>
      <c r="N373" t="inlineStr">
        <is>
          <t>8. aufl. Hrsg. von der Deutschen chemischen gesellschaft, bearb. von R.J. Meyer, unter beratender mitwirkung von Franz Peters.</t>
        </is>
      </c>
      <c r="O373" t="inlineStr">
        <is>
          <t>ger</t>
        </is>
      </c>
      <c r="P373" t="inlineStr">
        <is>
          <t xml:space="preserve">xx </t>
        </is>
      </c>
      <c r="R373" t="inlineStr">
        <is>
          <t xml:space="preserve">QD </t>
        </is>
      </c>
      <c r="S373" t="n">
        <v>1</v>
      </c>
      <c r="T373" t="n">
        <v>324</v>
      </c>
      <c r="U373" t="inlineStr">
        <is>
          <t>1998-07-27</t>
        </is>
      </c>
      <c r="V373" t="inlineStr">
        <is>
          <t>1998-07-28</t>
        </is>
      </c>
      <c r="W373" t="inlineStr">
        <is>
          <t>1997-06-09</t>
        </is>
      </c>
      <c r="X373" t="inlineStr">
        <is>
          <t>1998-06-24</t>
        </is>
      </c>
      <c r="Y373" t="n">
        <v>259</v>
      </c>
      <c r="Z373" t="n">
        <v>221</v>
      </c>
      <c r="AA373" t="n">
        <v>223</v>
      </c>
      <c r="AB373" t="n">
        <v>2</v>
      </c>
      <c r="AC373" t="n">
        <v>2</v>
      </c>
      <c r="AD373" t="n">
        <v>10</v>
      </c>
      <c r="AE373" t="n">
        <v>10</v>
      </c>
      <c r="AF373" t="n">
        <v>2</v>
      </c>
      <c r="AG373" t="n">
        <v>2</v>
      </c>
      <c r="AH373" t="n">
        <v>2</v>
      </c>
      <c r="AI373" t="n">
        <v>2</v>
      </c>
      <c r="AJ373" t="n">
        <v>8</v>
      </c>
      <c r="AK373" t="n">
        <v>8</v>
      </c>
      <c r="AL373" t="n">
        <v>1</v>
      </c>
      <c r="AM373" t="n">
        <v>1</v>
      </c>
      <c r="AN373" t="n">
        <v>0</v>
      </c>
      <c r="AO373" t="n">
        <v>0</v>
      </c>
      <c r="AP373" t="inlineStr">
        <is>
          <t>No</t>
        </is>
      </c>
      <c r="AQ373" t="inlineStr">
        <is>
          <t>Yes</t>
        </is>
      </c>
      <c r="AR373">
        <f>HYPERLINK("http://catalog.hathitrust.org/Record/009932175","HathiTrust Record")</f>
        <v/>
      </c>
      <c r="AS373">
        <f>HYPERLINK("https://creighton-primo.hosted.exlibrisgroup.com/primo-explore/search?tab=default_tab&amp;search_scope=EVERYTHING&amp;vid=01CRU&amp;lang=en_US&amp;offset=0&amp;query=any,contains,991005356889702656","Catalog Record")</f>
        <v/>
      </c>
      <c r="AT373">
        <f>HYPERLINK("http://www.worldcat.org/oclc/802031","WorldCat Record")</f>
        <v/>
      </c>
      <c r="AU373" t="inlineStr">
        <is>
          <t>4924721893:ger</t>
        </is>
      </c>
      <c r="AV373" t="inlineStr">
        <is>
          <t>802031</t>
        </is>
      </c>
      <c r="AW373" t="inlineStr">
        <is>
          <t>991005356889702656</t>
        </is>
      </c>
      <c r="AX373" t="inlineStr">
        <is>
          <t>991005356889702656</t>
        </is>
      </c>
      <c r="AY373" t="inlineStr">
        <is>
          <t>2270552310002656</t>
        </is>
      </c>
      <c r="AZ373" t="inlineStr">
        <is>
          <t>BOOK</t>
        </is>
      </c>
      <c r="BC373" t="inlineStr">
        <is>
          <t>32285002792066</t>
        </is>
      </c>
      <c r="BD373" t="inlineStr">
        <is>
          <t>893533614</t>
        </is>
      </c>
    </row>
    <row r="374">
      <c r="A374" t="inlineStr">
        <is>
          <t>No</t>
        </is>
      </c>
      <c r="B374" t="inlineStr">
        <is>
          <t>QD151 .G52 NO. 62 SECT. 3</t>
        </is>
      </c>
      <c r="C374" t="inlineStr">
        <is>
          <t>0                      QD 0151000G  52                                                      NO. 62 SECT. 3</t>
        </is>
      </c>
      <c r="D374" t="inlineStr">
        <is>
          <t>Gmelins Handbuch der anorganischen chemie.</t>
        </is>
      </c>
      <c r="E374" t="inlineStr">
        <is>
          <t>NO. 62 SECT. 3*</t>
        </is>
      </c>
      <c r="F374" t="inlineStr">
        <is>
          <t>Yes</t>
        </is>
      </c>
      <c r="G374" t="inlineStr">
        <is>
          <t>1</t>
        </is>
      </c>
      <c r="H374" t="inlineStr">
        <is>
          <t>No</t>
        </is>
      </c>
      <c r="I374" t="inlineStr">
        <is>
          <t>No</t>
        </is>
      </c>
      <c r="J374" t="inlineStr">
        <is>
          <t>0</t>
        </is>
      </c>
      <c r="L374" t="inlineStr">
        <is>
          <t>Leipzig-Berlin, Verlag Chemie g.m.b.h., 1924-</t>
        </is>
      </c>
      <c r="M374" t="inlineStr">
        <is>
          <t>1924</t>
        </is>
      </c>
      <c r="N374" t="inlineStr">
        <is>
          <t>8. aufl. Hrsg. von der Deutschen chemischen gesellschaft, bearb. von R.J. Meyer, unter beratender mitwirkung von Franz Peters.</t>
        </is>
      </c>
      <c r="O374" t="inlineStr">
        <is>
          <t>ger</t>
        </is>
      </c>
      <c r="P374" t="inlineStr">
        <is>
          <t xml:space="preserve">xx </t>
        </is>
      </c>
      <c r="R374" t="inlineStr">
        <is>
          <t xml:space="preserve">QD </t>
        </is>
      </c>
      <c r="S374" t="n">
        <v>1</v>
      </c>
      <c r="T374" t="n">
        <v>324</v>
      </c>
      <c r="U374" t="inlineStr">
        <is>
          <t>1998-07-27</t>
        </is>
      </c>
      <c r="V374" t="inlineStr">
        <is>
          <t>1998-07-28</t>
        </is>
      </c>
      <c r="W374" t="inlineStr">
        <is>
          <t>1997-06-09</t>
        </is>
      </c>
      <c r="X374" t="inlineStr">
        <is>
          <t>1998-06-24</t>
        </is>
      </c>
      <c r="Y374" t="n">
        <v>259</v>
      </c>
      <c r="Z374" t="n">
        <v>221</v>
      </c>
      <c r="AA374" t="n">
        <v>223</v>
      </c>
      <c r="AB374" t="n">
        <v>2</v>
      </c>
      <c r="AC374" t="n">
        <v>2</v>
      </c>
      <c r="AD374" t="n">
        <v>10</v>
      </c>
      <c r="AE374" t="n">
        <v>10</v>
      </c>
      <c r="AF374" t="n">
        <v>2</v>
      </c>
      <c r="AG374" t="n">
        <v>2</v>
      </c>
      <c r="AH374" t="n">
        <v>2</v>
      </c>
      <c r="AI374" t="n">
        <v>2</v>
      </c>
      <c r="AJ374" t="n">
        <v>8</v>
      </c>
      <c r="AK374" t="n">
        <v>8</v>
      </c>
      <c r="AL374" t="n">
        <v>1</v>
      </c>
      <c r="AM374" t="n">
        <v>1</v>
      </c>
      <c r="AN374" t="n">
        <v>0</v>
      </c>
      <c r="AO374" t="n">
        <v>0</v>
      </c>
      <c r="AP374" t="inlineStr">
        <is>
          <t>No</t>
        </is>
      </c>
      <c r="AQ374" t="inlineStr">
        <is>
          <t>Yes</t>
        </is>
      </c>
      <c r="AR374">
        <f>HYPERLINK("http://catalog.hathitrust.org/Record/009932175","HathiTrust Record")</f>
        <v/>
      </c>
      <c r="AS374">
        <f>HYPERLINK("https://creighton-primo.hosted.exlibrisgroup.com/primo-explore/search?tab=default_tab&amp;search_scope=EVERYTHING&amp;vid=01CRU&amp;lang=en_US&amp;offset=0&amp;query=any,contains,991005356889702656","Catalog Record")</f>
        <v/>
      </c>
      <c r="AT374">
        <f>HYPERLINK("http://www.worldcat.org/oclc/802031","WorldCat Record")</f>
        <v/>
      </c>
      <c r="AU374" t="inlineStr">
        <is>
          <t>4924721893:ger</t>
        </is>
      </c>
      <c r="AV374" t="inlineStr">
        <is>
          <t>802031</t>
        </is>
      </c>
      <c r="AW374" t="inlineStr">
        <is>
          <t>991005356889702656</t>
        </is>
      </c>
      <c r="AX374" t="inlineStr">
        <is>
          <t>991005356889702656</t>
        </is>
      </c>
      <c r="AY374" t="inlineStr">
        <is>
          <t>2270552310002656</t>
        </is>
      </c>
      <c r="AZ374" t="inlineStr">
        <is>
          <t>BOOK</t>
        </is>
      </c>
      <c r="BC374" t="inlineStr">
        <is>
          <t>32285002792074</t>
        </is>
      </c>
      <c r="BD374" t="inlineStr">
        <is>
          <t>893520973</t>
        </is>
      </c>
    </row>
    <row r="375">
      <c r="A375" t="inlineStr">
        <is>
          <t>No</t>
        </is>
      </c>
      <c r="B375" t="inlineStr">
        <is>
          <t>QD151 .G52 NO. 63</t>
        </is>
      </c>
      <c r="C375" t="inlineStr">
        <is>
          <t>0                      QD 0151000G  52                                                      NO. 63</t>
        </is>
      </c>
      <c r="D375" t="inlineStr">
        <is>
          <t>Gmelins Handbuch der anorganischen chemie.</t>
        </is>
      </c>
      <c r="E375" t="inlineStr">
        <is>
          <t>NO. 63*</t>
        </is>
      </c>
      <c r="F375" t="inlineStr">
        <is>
          <t>Yes</t>
        </is>
      </c>
      <c r="G375" t="inlineStr">
        <is>
          <t>1</t>
        </is>
      </c>
      <c r="H375" t="inlineStr">
        <is>
          <t>No</t>
        </is>
      </c>
      <c r="I375" t="inlineStr">
        <is>
          <t>No</t>
        </is>
      </c>
      <c r="J375" t="inlineStr">
        <is>
          <t>0</t>
        </is>
      </c>
      <c r="L375" t="inlineStr">
        <is>
          <t>Leipzig-Berlin, Verlag Chemie g.m.b.h., 1924-</t>
        </is>
      </c>
      <c r="M375" t="inlineStr">
        <is>
          <t>1924</t>
        </is>
      </c>
      <c r="N375" t="inlineStr">
        <is>
          <t>8. aufl. Hrsg. von der Deutschen chemischen gesellschaft, bearb. von R.J. Meyer, unter beratender mitwirkung von Franz Peters.</t>
        </is>
      </c>
      <c r="O375" t="inlineStr">
        <is>
          <t>ger</t>
        </is>
      </c>
      <c r="P375" t="inlineStr">
        <is>
          <t xml:space="preserve">xx </t>
        </is>
      </c>
      <c r="R375" t="inlineStr">
        <is>
          <t xml:space="preserve">QD </t>
        </is>
      </c>
      <c r="S375" t="n">
        <v>1</v>
      </c>
      <c r="T375" t="n">
        <v>324</v>
      </c>
      <c r="U375" t="inlineStr">
        <is>
          <t>1998-07-27</t>
        </is>
      </c>
      <c r="V375" t="inlineStr">
        <is>
          <t>1998-07-28</t>
        </is>
      </c>
      <c r="W375" t="inlineStr">
        <is>
          <t>1997-06-09</t>
        </is>
      </c>
      <c r="X375" t="inlineStr">
        <is>
          <t>1998-06-24</t>
        </is>
      </c>
      <c r="Y375" t="n">
        <v>259</v>
      </c>
      <c r="Z375" t="n">
        <v>221</v>
      </c>
      <c r="AA375" t="n">
        <v>223</v>
      </c>
      <c r="AB375" t="n">
        <v>2</v>
      </c>
      <c r="AC375" t="n">
        <v>2</v>
      </c>
      <c r="AD375" t="n">
        <v>10</v>
      </c>
      <c r="AE375" t="n">
        <v>10</v>
      </c>
      <c r="AF375" t="n">
        <v>2</v>
      </c>
      <c r="AG375" t="n">
        <v>2</v>
      </c>
      <c r="AH375" t="n">
        <v>2</v>
      </c>
      <c r="AI375" t="n">
        <v>2</v>
      </c>
      <c r="AJ375" t="n">
        <v>8</v>
      </c>
      <c r="AK375" t="n">
        <v>8</v>
      </c>
      <c r="AL375" t="n">
        <v>1</v>
      </c>
      <c r="AM375" t="n">
        <v>1</v>
      </c>
      <c r="AN375" t="n">
        <v>0</v>
      </c>
      <c r="AO375" t="n">
        <v>0</v>
      </c>
      <c r="AP375" t="inlineStr">
        <is>
          <t>No</t>
        </is>
      </c>
      <c r="AQ375" t="inlineStr">
        <is>
          <t>Yes</t>
        </is>
      </c>
      <c r="AR375">
        <f>HYPERLINK("http://catalog.hathitrust.org/Record/009932175","HathiTrust Record")</f>
        <v/>
      </c>
      <c r="AS375">
        <f>HYPERLINK("https://creighton-primo.hosted.exlibrisgroup.com/primo-explore/search?tab=default_tab&amp;search_scope=EVERYTHING&amp;vid=01CRU&amp;lang=en_US&amp;offset=0&amp;query=any,contains,991005356889702656","Catalog Record")</f>
        <v/>
      </c>
      <c r="AT375">
        <f>HYPERLINK("http://www.worldcat.org/oclc/802031","WorldCat Record")</f>
        <v/>
      </c>
      <c r="AU375" t="inlineStr">
        <is>
          <t>4924721893:ger</t>
        </is>
      </c>
      <c r="AV375" t="inlineStr">
        <is>
          <t>802031</t>
        </is>
      </c>
      <c r="AW375" t="inlineStr">
        <is>
          <t>991005356889702656</t>
        </is>
      </c>
      <c r="AX375" t="inlineStr">
        <is>
          <t>991005356889702656</t>
        </is>
      </c>
      <c r="AY375" t="inlineStr">
        <is>
          <t>2270552310002656</t>
        </is>
      </c>
      <c r="AZ375" t="inlineStr">
        <is>
          <t>BOOK</t>
        </is>
      </c>
      <c r="BC375" t="inlineStr">
        <is>
          <t>32285002792082</t>
        </is>
      </c>
      <c r="BD375" t="inlineStr">
        <is>
          <t>893501788</t>
        </is>
      </c>
    </row>
    <row r="376">
      <c r="A376" t="inlineStr">
        <is>
          <t>No</t>
        </is>
      </c>
      <c r="B376" t="inlineStr">
        <is>
          <t>QD151 .G52 NO. 63 SUPP.</t>
        </is>
      </c>
      <c r="C376" t="inlineStr">
        <is>
          <t>0                      QD 0151000G  52                                                      NO. 63 SUPP.</t>
        </is>
      </c>
      <c r="D376" t="inlineStr">
        <is>
          <t>Gmelins Handbuch der anorganischen chemie.</t>
        </is>
      </c>
      <c r="E376" t="inlineStr">
        <is>
          <t>NO. 63 SUPP.*</t>
        </is>
      </c>
      <c r="F376" t="inlineStr">
        <is>
          <t>Yes</t>
        </is>
      </c>
      <c r="G376" t="inlineStr">
        <is>
          <t>1</t>
        </is>
      </c>
      <c r="H376" t="inlineStr">
        <is>
          <t>No</t>
        </is>
      </c>
      <c r="I376" t="inlineStr">
        <is>
          <t>No</t>
        </is>
      </c>
      <c r="J376" t="inlineStr">
        <is>
          <t>0</t>
        </is>
      </c>
      <c r="L376" t="inlineStr">
        <is>
          <t>Leipzig-Berlin, Verlag Chemie g.m.b.h., 1924-</t>
        </is>
      </c>
      <c r="M376" t="inlineStr">
        <is>
          <t>1924</t>
        </is>
      </c>
      <c r="N376" t="inlineStr">
        <is>
          <t>8. aufl. Hrsg. von der Deutschen chemischen gesellschaft, bearb. von R.J. Meyer, unter beratender mitwirkung von Franz Peters.</t>
        </is>
      </c>
      <c r="O376" t="inlineStr">
        <is>
          <t>ger</t>
        </is>
      </c>
      <c r="P376" t="inlineStr">
        <is>
          <t xml:space="preserve">xx </t>
        </is>
      </c>
      <c r="R376" t="inlineStr">
        <is>
          <t xml:space="preserve">QD </t>
        </is>
      </c>
      <c r="S376" t="n">
        <v>1</v>
      </c>
      <c r="T376" t="n">
        <v>324</v>
      </c>
      <c r="U376" t="inlineStr">
        <is>
          <t>1998-07-27</t>
        </is>
      </c>
      <c r="V376" t="inlineStr">
        <is>
          <t>1998-07-28</t>
        </is>
      </c>
      <c r="W376" t="inlineStr">
        <is>
          <t>1997-06-09</t>
        </is>
      </c>
      <c r="X376" t="inlineStr">
        <is>
          <t>1998-06-24</t>
        </is>
      </c>
      <c r="Y376" t="n">
        <v>259</v>
      </c>
      <c r="Z376" t="n">
        <v>221</v>
      </c>
      <c r="AA376" t="n">
        <v>223</v>
      </c>
      <c r="AB376" t="n">
        <v>2</v>
      </c>
      <c r="AC376" t="n">
        <v>2</v>
      </c>
      <c r="AD376" t="n">
        <v>10</v>
      </c>
      <c r="AE376" t="n">
        <v>10</v>
      </c>
      <c r="AF376" t="n">
        <v>2</v>
      </c>
      <c r="AG376" t="n">
        <v>2</v>
      </c>
      <c r="AH376" t="n">
        <v>2</v>
      </c>
      <c r="AI376" t="n">
        <v>2</v>
      </c>
      <c r="AJ376" t="n">
        <v>8</v>
      </c>
      <c r="AK376" t="n">
        <v>8</v>
      </c>
      <c r="AL376" t="n">
        <v>1</v>
      </c>
      <c r="AM376" t="n">
        <v>1</v>
      </c>
      <c r="AN376" t="n">
        <v>0</v>
      </c>
      <c r="AO376" t="n">
        <v>0</v>
      </c>
      <c r="AP376" t="inlineStr">
        <is>
          <t>No</t>
        </is>
      </c>
      <c r="AQ376" t="inlineStr">
        <is>
          <t>Yes</t>
        </is>
      </c>
      <c r="AR376">
        <f>HYPERLINK("http://catalog.hathitrust.org/Record/009932175","HathiTrust Record")</f>
        <v/>
      </c>
      <c r="AS376">
        <f>HYPERLINK("https://creighton-primo.hosted.exlibrisgroup.com/primo-explore/search?tab=default_tab&amp;search_scope=EVERYTHING&amp;vid=01CRU&amp;lang=en_US&amp;offset=0&amp;query=any,contains,991005356889702656","Catalog Record")</f>
        <v/>
      </c>
      <c r="AT376">
        <f>HYPERLINK("http://www.worldcat.org/oclc/802031","WorldCat Record")</f>
        <v/>
      </c>
      <c r="AU376" t="inlineStr">
        <is>
          <t>4924721893:ger</t>
        </is>
      </c>
      <c r="AV376" t="inlineStr">
        <is>
          <t>802031</t>
        </is>
      </c>
      <c r="AW376" t="inlineStr">
        <is>
          <t>991005356889702656</t>
        </is>
      </c>
      <c r="AX376" t="inlineStr">
        <is>
          <t>991005356889702656</t>
        </is>
      </c>
      <c r="AY376" t="inlineStr">
        <is>
          <t>2270552310002656</t>
        </is>
      </c>
      <c r="AZ376" t="inlineStr">
        <is>
          <t>BOOK</t>
        </is>
      </c>
      <c r="BC376" t="inlineStr">
        <is>
          <t>32285002792090</t>
        </is>
      </c>
      <c r="BD376" t="inlineStr">
        <is>
          <t>893533613</t>
        </is>
      </c>
    </row>
    <row r="377">
      <c r="A377" t="inlineStr">
        <is>
          <t>No</t>
        </is>
      </c>
      <c r="B377" t="inlineStr">
        <is>
          <t>QD151 .G52 NO. 64</t>
        </is>
      </c>
      <c r="C377" t="inlineStr">
        <is>
          <t>0                      QD 0151000G  52                                                      NO. 64</t>
        </is>
      </c>
      <c r="D377" t="inlineStr">
        <is>
          <t>Gmelins Handbuch der anorganischen chemie.</t>
        </is>
      </c>
      <c r="E377" t="inlineStr">
        <is>
          <t>NO. 64*</t>
        </is>
      </c>
      <c r="F377" t="inlineStr">
        <is>
          <t>Yes</t>
        </is>
      </c>
      <c r="G377" t="inlineStr">
        <is>
          <t>1</t>
        </is>
      </c>
      <c r="H377" t="inlineStr">
        <is>
          <t>No</t>
        </is>
      </c>
      <c r="I377" t="inlineStr">
        <is>
          <t>No</t>
        </is>
      </c>
      <c r="J377" t="inlineStr">
        <is>
          <t>0</t>
        </is>
      </c>
      <c r="L377" t="inlineStr">
        <is>
          <t>Leipzig-Berlin, Verlag Chemie g.m.b.h., 1924-</t>
        </is>
      </c>
      <c r="M377" t="inlineStr">
        <is>
          <t>1924</t>
        </is>
      </c>
      <c r="N377" t="inlineStr">
        <is>
          <t>8. aufl. Hrsg. von der Deutschen chemischen gesellschaft, bearb. von R.J. Meyer, unter beratender mitwirkung von Franz Peters.</t>
        </is>
      </c>
      <c r="O377" t="inlineStr">
        <is>
          <t>ger</t>
        </is>
      </c>
      <c r="P377" t="inlineStr">
        <is>
          <t xml:space="preserve">xx </t>
        </is>
      </c>
      <c r="R377" t="inlineStr">
        <is>
          <t xml:space="preserve">QD </t>
        </is>
      </c>
      <c r="S377" t="n">
        <v>1</v>
      </c>
      <c r="T377" t="n">
        <v>324</v>
      </c>
      <c r="U377" t="inlineStr">
        <is>
          <t>1998-07-27</t>
        </is>
      </c>
      <c r="V377" t="inlineStr">
        <is>
          <t>1998-07-28</t>
        </is>
      </c>
      <c r="W377" t="inlineStr">
        <is>
          <t>1997-06-09</t>
        </is>
      </c>
      <c r="X377" t="inlineStr">
        <is>
          <t>1998-06-24</t>
        </is>
      </c>
      <c r="Y377" t="n">
        <v>259</v>
      </c>
      <c r="Z377" t="n">
        <v>221</v>
      </c>
      <c r="AA377" t="n">
        <v>223</v>
      </c>
      <c r="AB377" t="n">
        <v>2</v>
      </c>
      <c r="AC377" t="n">
        <v>2</v>
      </c>
      <c r="AD377" t="n">
        <v>10</v>
      </c>
      <c r="AE377" t="n">
        <v>10</v>
      </c>
      <c r="AF377" t="n">
        <v>2</v>
      </c>
      <c r="AG377" t="n">
        <v>2</v>
      </c>
      <c r="AH377" t="n">
        <v>2</v>
      </c>
      <c r="AI377" t="n">
        <v>2</v>
      </c>
      <c r="AJ377" t="n">
        <v>8</v>
      </c>
      <c r="AK377" t="n">
        <v>8</v>
      </c>
      <c r="AL377" t="n">
        <v>1</v>
      </c>
      <c r="AM377" t="n">
        <v>1</v>
      </c>
      <c r="AN377" t="n">
        <v>0</v>
      </c>
      <c r="AO377" t="n">
        <v>0</v>
      </c>
      <c r="AP377" t="inlineStr">
        <is>
          <t>No</t>
        </is>
      </c>
      <c r="AQ377" t="inlineStr">
        <is>
          <t>Yes</t>
        </is>
      </c>
      <c r="AR377">
        <f>HYPERLINK("http://catalog.hathitrust.org/Record/009932175","HathiTrust Record")</f>
        <v/>
      </c>
      <c r="AS377">
        <f>HYPERLINK("https://creighton-primo.hosted.exlibrisgroup.com/primo-explore/search?tab=default_tab&amp;search_scope=EVERYTHING&amp;vid=01CRU&amp;lang=en_US&amp;offset=0&amp;query=any,contains,991005356889702656","Catalog Record")</f>
        <v/>
      </c>
      <c r="AT377">
        <f>HYPERLINK("http://www.worldcat.org/oclc/802031","WorldCat Record")</f>
        <v/>
      </c>
      <c r="AU377" t="inlineStr">
        <is>
          <t>4924721893:ger</t>
        </is>
      </c>
      <c r="AV377" t="inlineStr">
        <is>
          <t>802031</t>
        </is>
      </c>
      <c r="AW377" t="inlineStr">
        <is>
          <t>991005356889702656</t>
        </is>
      </c>
      <c r="AX377" t="inlineStr">
        <is>
          <t>991005356889702656</t>
        </is>
      </c>
      <c r="AY377" t="inlineStr">
        <is>
          <t>2270552310002656</t>
        </is>
      </c>
      <c r="AZ377" t="inlineStr">
        <is>
          <t>BOOK</t>
        </is>
      </c>
      <c r="BC377" t="inlineStr">
        <is>
          <t>32285002792108</t>
        </is>
      </c>
      <c r="BD377" t="inlineStr">
        <is>
          <t>893520939</t>
        </is>
      </c>
    </row>
    <row r="378">
      <c r="A378" t="inlineStr">
        <is>
          <t>No</t>
        </is>
      </c>
      <c r="B378" t="inlineStr">
        <is>
          <t>QD151 .G52 NO. 65 SECT. 1</t>
        </is>
      </c>
      <c r="C378" t="inlineStr">
        <is>
          <t>0                      QD 0151000G  52                                                      NO. 65 SECT. 1</t>
        </is>
      </c>
      <c r="D378" t="inlineStr">
        <is>
          <t>Gmelins Handbuch der anorganischen chemie.</t>
        </is>
      </c>
      <c r="E378" t="inlineStr">
        <is>
          <t>NO. 65 SECT. 1*</t>
        </is>
      </c>
      <c r="F378" t="inlineStr">
        <is>
          <t>Yes</t>
        </is>
      </c>
      <c r="G378" t="inlineStr">
        <is>
          <t>1</t>
        </is>
      </c>
      <c r="H378" t="inlineStr">
        <is>
          <t>No</t>
        </is>
      </c>
      <c r="I378" t="inlineStr">
        <is>
          <t>No</t>
        </is>
      </c>
      <c r="J378" t="inlineStr">
        <is>
          <t>0</t>
        </is>
      </c>
      <c r="L378" t="inlineStr">
        <is>
          <t>Leipzig-Berlin, Verlag Chemie g.m.b.h., 1924-</t>
        </is>
      </c>
      <c r="M378" t="inlineStr">
        <is>
          <t>1924</t>
        </is>
      </c>
      <c r="N378" t="inlineStr">
        <is>
          <t>8. aufl. Hrsg. von der Deutschen chemischen gesellschaft, bearb. von R.J. Meyer, unter beratender mitwirkung von Franz Peters.</t>
        </is>
      </c>
      <c r="O378" t="inlineStr">
        <is>
          <t>ger</t>
        </is>
      </c>
      <c r="P378" t="inlineStr">
        <is>
          <t xml:space="preserve">xx </t>
        </is>
      </c>
      <c r="R378" t="inlineStr">
        <is>
          <t xml:space="preserve">QD </t>
        </is>
      </c>
      <c r="S378" t="n">
        <v>1</v>
      </c>
      <c r="T378" t="n">
        <v>324</v>
      </c>
      <c r="U378" t="inlineStr">
        <is>
          <t>1998-07-27</t>
        </is>
      </c>
      <c r="V378" t="inlineStr">
        <is>
          <t>1998-07-28</t>
        </is>
      </c>
      <c r="W378" t="inlineStr">
        <is>
          <t>1997-06-09</t>
        </is>
      </c>
      <c r="X378" t="inlineStr">
        <is>
          <t>1998-06-24</t>
        </is>
      </c>
      <c r="Y378" t="n">
        <v>259</v>
      </c>
      <c r="Z378" t="n">
        <v>221</v>
      </c>
      <c r="AA378" t="n">
        <v>223</v>
      </c>
      <c r="AB378" t="n">
        <v>2</v>
      </c>
      <c r="AC378" t="n">
        <v>2</v>
      </c>
      <c r="AD378" t="n">
        <v>10</v>
      </c>
      <c r="AE378" t="n">
        <v>10</v>
      </c>
      <c r="AF378" t="n">
        <v>2</v>
      </c>
      <c r="AG378" t="n">
        <v>2</v>
      </c>
      <c r="AH378" t="n">
        <v>2</v>
      </c>
      <c r="AI378" t="n">
        <v>2</v>
      </c>
      <c r="AJ378" t="n">
        <v>8</v>
      </c>
      <c r="AK378" t="n">
        <v>8</v>
      </c>
      <c r="AL378" t="n">
        <v>1</v>
      </c>
      <c r="AM378" t="n">
        <v>1</v>
      </c>
      <c r="AN378" t="n">
        <v>0</v>
      </c>
      <c r="AO378" t="n">
        <v>0</v>
      </c>
      <c r="AP378" t="inlineStr">
        <is>
          <t>No</t>
        </is>
      </c>
      <c r="AQ378" t="inlineStr">
        <is>
          <t>Yes</t>
        </is>
      </c>
      <c r="AR378">
        <f>HYPERLINK("http://catalog.hathitrust.org/Record/009932175","HathiTrust Record")</f>
        <v/>
      </c>
      <c r="AS378">
        <f>HYPERLINK("https://creighton-primo.hosted.exlibrisgroup.com/primo-explore/search?tab=default_tab&amp;search_scope=EVERYTHING&amp;vid=01CRU&amp;lang=en_US&amp;offset=0&amp;query=any,contains,991005356889702656","Catalog Record")</f>
        <v/>
      </c>
      <c r="AT378">
        <f>HYPERLINK("http://www.worldcat.org/oclc/802031","WorldCat Record")</f>
        <v/>
      </c>
      <c r="AU378" t="inlineStr">
        <is>
          <t>4924721893:ger</t>
        </is>
      </c>
      <c r="AV378" t="inlineStr">
        <is>
          <t>802031</t>
        </is>
      </c>
      <c r="AW378" t="inlineStr">
        <is>
          <t>991005356889702656</t>
        </is>
      </c>
      <c r="AX378" t="inlineStr">
        <is>
          <t>991005356889702656</t>
        </is>
      </c>
      <c r="AY378" t="inlineStr">
        <is>
          <t>2270552310002656</t>
        </is>
      </c>
      <c r="AZ378" t="inlineStr">
        <is>
          <t>BOOK</t>
        </is>
      </c>
      <c r="BC378" t="inlineStr">
        <is>
          <t>32285002792116</t>
        </is>
      </c>
      <c r="BD378" t="inlineStr">
        <is>
          <t>893520938</t>
        </is>
      </c>
    </row>
    <row r="379">
      <c r="A379" t="inlineStr">
        <is>
          <t>No</t>
        </is>
      </c>
      <c r="B379" t="inlineStr">
        <is>
          <t>QD151 .G52 NO. 65 SECT. 2</t>
        </is>
      </c>
      <c r="C379" t="inlineStr">
        <is>
          <t>0                      QD 0151000G  52                                                      NO. 65 SECT. 2</t>
        </is>
      </c>
      <c r="D379" t="inlineStr">
        <is>
          <t>Gmelins Handbuch der anorganischen chemie.</t>
        </is>
      </c>
      <c r="E379" t="inlineStr">
        <is>
          <t>NO. 65 SECT. 2*</t>
        </is>
      </c>
      <c r="F379" t="inlineStr">
        <is>
          <t>Yes</t>
        </is>
      </c>
      <c r="G379" t="inlineStr">
        <is>
          <t>1</t>
        </is>
      </c>
      <c r="H379" t="inlineStr">
        <is>
          <t>No</t>
        </is>
      </c>
      <c r="I379" t="inlineStr">
        <is>
          <t>No</t>
        </is>
      </c>
      <c r="J379" t="inlineStr">
        <is>
          <t>0</t>
        </is>
      </c>
      <c r="L379" t="inlineStr">
        <is>
          <t>Leipzig-Berlin, Verlag Chemie g.m.b.h., 1924-</t>
        </is>
      </c>
      <c r="M379" t="inlineStr">
        <is>
          <t>1924</t>
        </is>
      </c>
      <c r="N379" t="inlineStr">
        <is>
          <t>8. aufl. Hrsg. von der Deutschen chemischen gesellschaft, bearb. von R.J. Meyer, unter beratender mitwirkung von Franz Peters.</t>
        </is>
      </c>
      <c r="O379" t="inlineStr">
        <is>
          <t>ger</t>
        </is>
      </c>
      <c r="P379" t="inlineStr">
        <is>
          <t xml:space="preserve">xx </t>
        </is>
      </c>
      <c r="R379" t="inlineStr">
        <is>
          <t xml:space="preserve">QD </t>
        </is>
      </c>
      <c r="S379" t="n">
        <v>1</v>
      </c>
      <c r="T379" t="n">
        <v>324</v>
      </c>
      <c r="U379" t="inlineStr">
        <is>
          <t>1998-07-27</t>
        </is>
      </c>
      <c r="V379" t="inlineStr">
        <is>
          <t>1998-07-28</t>
        </is>
      </c>
      <c r="W379" t="inlineStr">
        <is>
          <t>1997-06-09</t>
        </is>
      </c>
      <c r="X379" t="inlineStr">
        <is>
          <t>1998-06-24</t>
        </is>
      </c>
      <c r="Y379" t="n">
        <v>259</v>
      </c>
      <c r="Z379" t="n">
        <v>221</v>
      </c>
      <c r="AA379" t="n">
        <v>223</v>
      </c>
      <c r="AB379" t="n">
        <v>2</v>
      </c>
      <c r="AC379" t="n">
        <v>2</v>
      </c>
      <c r="AD379" t="n">
        <v>10</v>
      </c>
      <c r="AE379" t="n">
        <v>10</v>
      </c>
      <c r="AF379" t="n">
        <v>2</v>
      </c>
      <c r="AG379" t="n">
        <v>2</v>
      </c>
      <c r="AH379" t="n">
        <v>2</v>
      </c>
      <c r="AI379" t="n">
        <v>2</v>
      </c>
      <c r="AJ379" t="n">
        <v>8</v>
      </c>
      <c r="AK379" t="n">
        <v>8</v>
      </c>
      <c r="AL379" t="n">
        <v>1</v>
      </c>
      <c r="AM379" t="n">
        <v>1</v>
      </c>
      <c r="AN379" t="n">
        <v>0</v>
      </c>
      <c r="AO379" t="n">
        <v>0</v>
      </c>
      <c r="AP379" t="inlineStr">
        <is>
          <t>No</t>
        </is>
      </c>
      <c r="AQ379" t="inlineStr">
        <is>
          <t>Yes</t>
        </is>
      </c>
      <c r="AR379">
        <f>HYPERLINK("http://catalog.hathitrust.org/Record/009932175","HathiTrust Record")</f>
        <v/>
      </c>
      <c r="AS379">
        <f>HYPERLINK("https://creighton-primo.hosted.exlibrisgroup.com/primo-explore/search?tab=default_tab&amp;search_scope=EVERYTHING&amp;vid=01CRU&amp;lang=en_US&amp;offset=0&amp;query=any,contains,991005356889702656","Catalog Record")</f>
        <v/>
      </c>
      <c r="AT379">
        <f>HYPERLINK("http://www.worldcat.org/oclc/802031","WorldCat Record")</f>
        <v/>
      </c>
      <c r="AU379" t="inlineStr">
        <is>
          <t>4924721893:ger</t>
        </is>
      </c>
      <c r="AV379" t="inlineStr">
        <is>
          <t>802031</t>
        </is>
      </c>
      <c r="AW379" t="inlineStr">
        <is>
          <t>991005356889702656</t>
        </is>
      </c>
      <c r="AX379" t="inlineStr">
        <is>
          <t>991005356889702656</t>
        </is>
      </c>
      <c r="AY379" t="inlineStr">
        <is>
          <t>2270552310002656</t>
        </is>
      </c>
      <c r="AZ379" t="inlineStr">
        <is>
          <t>BOOK</t>
        </is>
      </c>
      <c r="BC379" t="inlineStr">
        <is>
          <t>32285002792124</t>
        </is>
      </c>
      <c r="BD379" t="inlineStr">
        <is>
          <t>893533612</t>
        </is>
      </c>
    </row>
    <row r="380">
      <c r="A380" t="inlineStr">
        <is>
          <t>No</t>
        </is>
      </c>
      <c r="B380" t="inlineStr">
        <is>
          <t>QD151 .G52 NO. 66</t>
        </is>
      </c>
      <c r="C380" t="inlineStr">
        <is>
          <t>0                      QD 0151000G  52                                                      NO. 66</t>
        </is>
      </c>
      <c r="D380" t="inlineStr">
        <is>
          <t>Gmelins Handbuch der anorganischen chemie.</t>
        </is>
      </c>
      <c r="E380" t="inlineStr">
        <is>
          <t>NO. 66*</t>
        </is>
      </c>
      <c r="F380" t="inlineStr">
        <is>
          <t>Yes</t>
        </is>
      </c>
      <c r="G380" t="inlineStr">
        <is>
          <t>1</t>
        </is>
      </c>
      <c r="H380" t="inlineStr">
        <is>
          <t>No</t>
        </is>
      </c>
      <c r="I380" t="inlineStr">
        <is>
          <t>No</t>
        </is>
      </c>
      <c r="J380" t="inlineStr">
        <is>
          <t>0</t>
        </is>
      </c>
      <c r="L380" t="inlineStr">
        <is>
          <t>Leipzig-Berlin, Verlag Chemie g.m.b.h., 1924-</t>
        </is>
      </c>
      <c r="M380" t="inlineStr">
        <is>
          <t>1924</t>
        </is>
      </c>
      <c r="N380" t="inlineStr">
        <is>
          <t>8. aufl. Hrsg. von der Deutschen chemischen gesellschaft, bearb. von R.J. Meyer, unter beratender mitwirkung von Franz Peters.</t>
        </is>
      </c>
      <c r="O380" t="inlineStr">
        <is>
          <t>ger</t>
        </is>
      </c>
      <c r="P380" t="inlineStr">
        <is>
          <t xml:space="preserve">xx </t>
        </is>
      </c>
      <c r="R380" t="inlineStr">
        <is>
          <t xml:space="preserve">QD </t>
        </is>
      </c>
      <c r="S380" t="n">
        <v>1</v>
      </c>
      <c r="T380" t="n">
        <v>324</v>
      </c>
      <c r="U380" t="inlineStr">
        <is>
          <t>1998-07-27</t>
        </is>
      </c>
      <c r="V380" t="inlineStr">
        <is>
          <t>1998-07-28</t>
        </is>
      </c>
      <c r="W380" t="inlineStr">
        <is>
          <t>1997-06-09</t>
        </is>
      </c>
      <c r="X380" t="inlineStr">
        <is>
          <t>1998-06-24</t>
        </is>
      </c>
      <c r="Y380" t="n">
        <v>259</v>
      </c>
      <c r="Z380" t="n">
        <v>221</v>
      </c>
      <c r="AA380" t="n">
        <v>223</v>
      </c>
      <c r="AB380" t="n">
        <v>2</v>
      </c>
      <c r="AC380" t="n">
        <v>2</v>
      </c>
      <c r="AD380" t="n">
        <v>10</v>
      </c>
      <c r="AE380" t="n">
        <v>10</v>
      </c>
      <c r="AF380" t="n">
        <v>2</v>
      </c>
      <c r="AG380" t="n">
        <v>2</v>
      </c>
      <c r="AH380" t="n">
        <v>2</v>
      </c>
      <c r="AI380" t="n">
        <v>2</v>
      </c>
      <c r="AJ380" t="n">
        <v>8</v>
      </c>
      <c r="AK380" t="n">
        <v>8</v>
      </c>
      <c r="AL380" t="n">
        <v>1</v>
      </c>
      <c r="AM380" t="n">
        <v>1</v>
      </c>
      <c r="AN380" t="n">
        <v>0</v>
      </c>
      <c r="AO380" t="n">
        <v>0</v>
      </c>
      <c r="AP380" t="inlineStr">
        <is>
          <t>No</t>
        </is>
      </c>
      <c r="AQ380" t="inlineStr">
        <is>
          <t>Yes</t>
        </is>
      </c>
      <c r="AR380">
        <f>HYPERLINK("http://catalog.hathitrust.org/Record/009932175","HathiTrust Record")</f>
        <v/>
      </c>
      <c r="AS380">
        <f>HYPERLINK("https://creighton-primo.hosted.exlibrisgroup.com/primo-explore/search?tab=default_tab&amp;search_scope=EVERYTHING&amp;vid=01CRU&amp;lang=en_US&amp;offset=0&amp;query=any,contains,991005356889702656","Catalog Record")</f>
        <v/>
      </c>
      <c r="AT380">
        <f>HYPERLINK("http://www.worldcat.org/oclc/802031","WorldCat Record")</f>
        <v/>
      </c>
      <c r="AU380" t="inlineStr">
        <is>
          <t>4924721893:ger</t>
        </is>
      </c>
      <c r="AV380" t="inlineStr">
        <is>
          <t>802031</t>
        </is>
      </c>
      <c r="AW380" t="inlineStr">
        <is>
          <t>991005356889702656</t>
        </is>
      </c>
      <c r="AX380" t="inlineStr">
        <is>
          <t>991005356889702656</t>
        </is>
      </c>
      <c r="AY380" t="inlineStr">
        <is>
          <t>2270552310002656</t>
        </is>
      </c>
      <c r="AZ380" t="inlineStr">
        <is>
          <t>BOOK</t>
        </is>
      </c>
      <c r="BC380" t="inlineStr">
        <is>
          <t>32285002792132</t>
        </is>
      </c>
      <c r="BD380" t="inlineStr">
        <is>
          <t>893533611</t>
        </is>
      </c>
    </row>
    <row r="381">
      <c r="A381" t="inlineStr">
        <is>
          <t>No</t>
        </is>
      </c>
      <c r="B381" t="inlineStr">
        <is>
          <t>QD151 .G52 NO. 67</t>
        </is>
      </c>
      <c r="C381" t="inlineStr">
        <is>
          <t>0                      QD 0151000G  52                                                      NO. 67</t>
        </is>
      </c>
      <c r="D381" t="inlineStr">
        <is>
          <t>Gmelins Handbuch der anorganischen chemie.</t>
        </is>
      </c>
      <c r="E381" t="inlineStr">
        <is>
          <t>NO. 67*</t>
        </is>
      </c>
      <c r="F381" t="inlineStr">
        <is>
          <t>Yes</t>
        </is>
      </c>
      <c r="G381" t="inlineStr">
        <is>
          <t>1</t>
        </is>
      </c>
      <c r="H381" t="inlineStr">
        <is>
          <t>No</t>
        </is>
      </c>
      <c r="I381" t="inlineStr">
        <is>
          <t>No</t>
        </is>
      </c>
      <c r="J381" t="inlineStr">
        <is>
          <t>0</t>
        </is>
      </c>
      <c r="L381" t="inlineStr">
        <is>
          <t>Leipzig-Berlin, Verlag Chemie g.m.b.h., 1924-</t>
        </is>
      </c>
      <c r="M381" t="inlineStr">
        <is>
          <t>1924</t>
        </is>
      </c>
      <c r="N381" t="inlineStr">
        <is>
          <t>8. aufl. Hrsg. von der Deutschen chemischen gesellschaft, bearb. von R.J. Meyer, unter beratender mitwirkung von Franz Peters.</t>
        </is>
      </c>
      <c r="O381" t="inlineStr">
        <is>
          <t>ger</t>
        </is>
      </c>
      <c r="P381" t="inlineStr">
        <is>
          <t xml:space="preserve">xx </t>
        </is>
      </c>
      <c r="R381" t="inlineStr">
        <is>
          <t xml:space="preserve">QD </t>
        </is>
      </c>
      <c r="S381" t="n">
        <v>1</v>
      </c>
      <c r="T381" t="n">
        <v>324</v>
      </c>
      <c r="U381" t="inlineStr">
        <is>
          <t>1998-07-27</t>
        </is>
      </c>
      <c r="V381" t="inlineStr">
        <is>
          <t>1998-07-28</t>
        </is>
      </c>
      <c r="W381" t="inlineStr">
        <is>
          <t>1997-06-09</t>
        </is>
      </c>
      <c r="X381" t="inlineStr">
        <is>
          <t>1998-06-24</t>
        </is>
      </c>
      <c r="Y381" t="n">
        <v>259</v>
      </c>
      <c r="Z381" t="n">
        <v>221</v>
      </c>
      <c r="AA381" t="n">
        <v>223</v>
      </c>
      <c r="AB381" t="n">
        <v>2</v>
      </c>
      <c r="AC381" t="n">
        <v>2</v>
      </c>
      <c r="AD381" t="n">
        <v>10</v>
      </c>
      <c r="AE381" t="n">
        <v>10</v>
      </c>
      <c r="AF381" t="n">
        <v>2</v>
      </c>
      <c r="AG381" t="n">
        <v>2</v>
      </c>
      <c r="AH381" t="n">
        <v>2</v>
      </c>
      <c r="AI381" t="n">
        <v>2</v>
      </c>
      <c r="AJ381" t="n">
        <v>8</v>
      </c>
      <c r="AK381" t="n">
        <v>8</v>
      </c>
      <c r="AL381" t="n">
        <v>1</v>
      </c>
      <c r="AM381" t="n">
        <v>1</v>
      </c>
      <c r="AN381" t="n">
        <v>0</v>
      </c>
      <c r="AO381" t="n">
        <v>0</v>
      </c>
      <c r="AP381" t="inlineStr">
        <is>
          <t>No</t>
        </is>
      </c>
      <c r="AQ381" t="inlineStr">
        <is>
          <t>Yes</t>
        </is>
      </c>
      <c r="AR381">
        <f>HYPERLINK("http://catalog.hathitrust.org/Record/009932175","HathiTrust Record")</f>
        <v/>
      </c>
      <c r="AS381">
        <f>HYPERLINK("https://creighton-primo.hosted.exlibrisgroup.com/primo-explore/search?tab=default_tab&amp;search_scope=EVERYTHING&amp;vid=01CRU&amp;lang=en_US&amp;offset=0&amp;query=any,contains,991005356889702656","Catalog Record")</f>
        <v/>
      </c>
      <c r="AT381">
        <f>HYPERLINK("http://www.worldcat.org/oclc/802031","WorldCat Record")</f>
        <v/>
      </c>
      <c r="AU381" t="inlineStr">
        <is>
          <t>4924721893:ger</t>
        </is>
      </c>
      <c r="AV381" t="inlineStr">
        <is>
          <t>802031</t>
        </is>
      </c>
      <c r="AW381" t="inlineStr">
        <is>
          <t>991005356889702656</t>
        </is>
      </c>
      <c r="AX381" t="inlineStr">
        <is>
          <t>991005356889702656</t>
        </is>
      </c>
      <c r="AY381" t="inlineStr">
        <is>
          <t>2270552310002656</t>
        </is>
      </c>
      <c r="AZ381" t="inlineStr">
        <is>
          <t>BOOK</t>
        </is>
      </c>
      <c r="BC381" t="inlineStr">
        <is>
          <t>32285002792140</t>
        </is>
      </c>
      <c r="BD381" t="inlineStr">
        <is>
          <t>893508065</t>
        </is>
      </c>
    </row>
    <row r="382">
      <c r="A382" t="inlineStr">
        <is>
          <t>No</t>
        </is>
      </c>
      <c r="B382" t="inlineStr">
        <is>
          <t>QD151 .G52 NO. 67 PT. 2</t>
        </is>
      </c>
      <c r="C382" t="inlineStr">
        <is>
          <t>0                      QD 0151000G  52                                                      NO. 67 PT. 2</t>
        </is>
      </c>
      <c r="D382" t="inlineStr">
        <is>
          <t>Gmelins Handbuch der anorganischen chemie.</t>
        </is>
      </c>
      <c r="E382" t="inlineStr">
        <is>
          <t>NO. 67 PT. 2*</t>
        </is>
      </c>
      <c r="F382" t="inlineStr">
        <is>
          <t>Yes</t>
        </is>
      </c>
      <c r="G382" t="inlineStr">
        <is>
          <t>1</t>
        </is>
      </c>
      <c r="H382" t="inlineStr">
        <is>
          <t>No</t>
        </is>
      </c>
      <c r="I382" t="inlineStr">
        <is>
          <t>No</t>
        </is>
      </c>
      <c r="J382" t="inlineStr">
        <is>
          <t>0</t>
        </is>
      </c>
      <c r="L382" t="inlineStr">
        <is>
          <t>Leipzig-Berlin, Verlag Chemie g.m.b.h., 1924-</t>
        </is>
      </c>
      <c r="M382" t="inlineStr">
        <is>
          <t>1924</t>
        </is>
      </c>
      <c r="N382" t="inlineStr">
        <is>
          <t>8. aufl. Hrsg. von der Deutschen chemischen gesellschaft, bearb. von R.J. Meyer, unter beratender mitwirkung von Franz Peters.</t>
        </is>
      </c>
      <c r="O382" t="inlineStr">
        <is>
          <t>ger</t>
        </is>
      </c>
      <c r="P382" t="inlineStr">
        <is>
          <t xml:space="preserve">xx </t>
        </is>
      </c>
      <c r="R382" t="inlineStr">
        <is>
          <t xml:space="preserve">QD </t>
        </is>
      </c>
      <c r="S382" t="n">
        <v>1</v>
      </c>
      <c r="T382" t="n">
        <v>324</v>
      </c>
      <c r="U382" t="inlineStr">
        <is>
          <t>1998-07-27</t>
        </is>
      </c>
      <c r="V382" t="inlineStr">
        <is>
          <t>1998-07-28</t>
        </is>
      </c>
      <c r="W382" t="inlineStr">
        <is>
          <t>1997-06-09</t>
        </is>
      </c>
      <c r="X382" t="inlineStr">
        <is>
          <t>1998-06-24</t>
        </is>
      </c>
      <c r="Y382" t="n">
        <v>259</v>
      </c>
      <c r="Z382" t="n">
        <v>221</v>
      </c>
      <c r="AA382" t="n">
        <v>223</v>
      </c>
      <c r="AB382" t="n">
        <v>2</v>
      </c>
      <c r="AC382" t="n">
        <v>2</v>
      </c>
      <c r="AD382" t="n">
        <v>10</v>
      </c>
      <c r="AE382" t="n">
        <v>10</v>
      </c>
      <c r="AF382" t="n">
        <v>2</v>
      </c>
      <c r="AG382" t="n">
        <v>2</v>
      </c>
      <c r="AH382" t="n">
        <v>2</v>
      </c>
      <c r="AI382" t="n">
        <v>2</v>
      </c>
      <c r="AJ382" t="n">
        <v>8</v>
      </c>
      <c r="AK382" t="n">
        <v>8</v>
      </c>
      <c r="AL382" t="n">
        <v>1</v>
      </c>
      <c r="AM382" t="n">
        <v>1</v>
      </c>
      <c r="AN382" t="n">
        <v>0</v>
      </c>
      <c r="AO382" t="n">
        <v>0</v>
      </c>
      <c r="AP382" t="inlineStr">
        <is>
          <t>No</t>
        </is>
      </c>
      <c r="AQ382" t="inlineStr">
        <is>
          <t>Yes</t>
        </is>
      </c>
      <c r="AR382">
        <f>HYPERLINK("http://catalog.hathitrust.org/Record/009932175","HathiTrust Record")</f>
        <v/>
      </c>
      <c r="AS382">
        <f>HYPERLINK("https://creighton-primo.hosted.exlibrisgroup.com/primo-explore/search?tab=default_tab&amp;search_scope=EVERYTHING&amp;vid=01CRU&amp;lang=en_US&amp;offset=0&amp;query=any,contains,991005356889702656","Catalog Record")</f>
        <v/>
      </c>
      <c r="AT382">
        <f>HYPERLINK("http://www.worldcat.org/oclc/802031","WorldCat Record")</f>
        <v/>
      </c>
      <c r="AU382" t="inlineStr">
        <is>
          <t>4924721893:ger</t>
        </is>
      </c>
      <c r="AV382" t="inlineStr">
        <is>
          <t>802031</t>
        </is>
      </c>
      <c r="AW382" t="inlineStr">
        <is>
          <t>991005356889702656</t>
        </is>
      </c>
      <c r="AX382" t="inlineStr">
        <is>
          <t>991005356889702656</t>
        </is>
      </c>
      <c r="AY382" t="inlineStr">
        <is>
          <t>2270552310002656</t>
        </is>
      </c>
      <c r="AZ382" t="inlineStr">
        <is>
          <t>BOOK</t>
        </is>
      </c>
      <c r="BC382" t="inlineStr">
        <is>
          <t>32285002792157</t>
        </is>
      </c>
      <c r="BD382" t="inlineStr">
        <is>
          <t>893527433</t>
        </is>
      </c>
    </row>
    <row r="383">
      <c r="A383" t="inlineStr">
        <is>
          <t>No</t>
        </is>
      </c>
      <c r="B383" t="inlineStr">
        <is>
          <t>QD151 .G52 NO. 68 PT. A1</t>
        </is>
      </c>
      <c r="C383" t="inlineStr">
        <is>
          <t>0                      QD 0151000G  52                                                      NO. 68 PT. A1</t>
        </is>
      </c>
      <c r="D383" t="inlineStr">
        <is>
          <t>Gmelins Handbuch der anorganischen chemie.</t>
        </is>
      </c>
      <c r="E383" t="inlineStr">
        <is>
          <t>NO. 68 PT. A1*</t>
        </is>
      </c>
      <c r="F383" t="inlineStr">
        <is>
          <t>Yes</t>
        </is>
      </c>
      <c r="G383" t="inlineStr">
        <is>
          <t>1</t>
        </is>
      </c>
      <c r="H383" t="inlineStr">
        <is>
          <t>No</t>
        </is>
      </c>
      <c r="I383" t="inlineStr">
        <is>
          <t>No</t>
        </is>
      </c>
      <c r="J383" t="inlineStr">
        <is>
          <t>0</t>
        </is>
      </c>
      <c r="L383" t="inlineStr">
        <is>
          <t>Leipzig-Berlin, Verlag Chemie g.m.b.h., 1924-</t>
        </is>
      </c>
      <c r="M383" t="inlineStr">
        <is>
          <t>1924</t>
        </is>
      </c>
      <c r="N383" t="inlineStr">
        <is>
          <t>8. aufl. Hrsg. von der Deutschen chemischen gesellschaft, bearb. von R.J. Meyer, unter beratender mitwirkung von Franz Peters.</t>
        </is>
      </c>
      <c r="O383" t="inlineStr">
        <is>
          <t>ger</t>
        </is>
      </c>
      <c r="P383" t="inlineStr">
        <is>
          <t xml:space="preserve">xx </t>
        </is>
      </c>
      <c r="R383" t="inlineStr">
        <is>
          <t xml:space="preserve">QD </t>
        </is>
      </c>
      <c r="S383" t="n">
        <v>1</v>
      </c>
      <c r="T383" t="n">
        <v>324</v>
      </c>
      <c r="U383" t="inlineStr">
        <is>
          <t>1998-07-27</t>
        </is>
      </c>
      <c r="V383" t="inlineStr">
        <is>
          <t>1998-07-28</t>
        </is>
      </c>
      <c r="W383" t="inlineStr">
        <is>
          <t>1997-06-09</t>
        </is>
      </c>
      <c r="X383" t="inlineStr">
        <is>
          <t>1998-06-24</t>
        </is>
      </c>
      <c r="Y383" t="n">
        <v>259</v>
      </c>
      <c r="Z383" t="n">
        <v>221</v>
      </c>
      <c r="AA383" t="n">
        <v>223</v>
      </c>
      <c r="AB383" t="n">
        <v>2</v>
      </c>
      <c r="AC383" t="n">
        <v>2</v>
      </c>
      <c r="AD383" t="n">
        <v>10</v>
      </c>
      <c r="AE383" t="n">
        <v>10</v>
      </c>
      <c r="AF383" t="n">
        <v>2</v>
      </c>
      <c r="AG383" t="n">
        <v>2</v>
      </c>
      <c r="AH383" t="n">
        <v>2</v>
      </c>
      <c r="AI383" t="n">
        <v>2</v>
      </c>
      <c r="AJ383" t="n">
        <v>8</v>
      </c>
      <c r="AK383" t="n">
        <v>8</v>
      </c>
      <c r="AL383" t="n">
        <v>1</v>
      </c>
      <c r="AM383" t="n">
        <v>1</v>
      </c>
      <c r="AN383" t="n">
        <v>0</v>
      </c>
      <c r="AO383" t="n">
        <v>0</v>
      </c>
      <c r="AP383" t="inlineStr">
        <is>
          <t>No</t>
        </is>
      </c>
      <c r="AQ383" t="inlineStr">
        <is>
          <t>Yes</t>
        </is>
      </c>
      <c r="AR383">
        <f>HYPERLINK("http://catalog.hathitrust.org/Record/009932175","HathiTrust Record")</f>
        <v/>
      </c>
      <c r="AS383">
        <f>HYPERLINK("https://creighton-primo.hosted.exlibrisgroup.com/primo-explore/search?tab=default_tab&amp;search_scope=EVERYTHING&amp;vid=01CRU&amp;lang=en_US&amp;offset=0&amp;query=any,contains,991005356889702656","Catalog Record")</f>
        <v/>
      </c>
      <c r="AT383">
        <f>HYPERLINK("http://www.worldcat.org/oclc/802031","WorldCat Record")</f>
        <v/>
      </c>
      <c r="AU383" t="inlineStr">
        <is>
          <t>4924721893:ger</t>
        </is>
      </c>
      <c r="AV383" t="inlineStr">
        <is>
          <t>802031</t>
        </is>
      </c>
      <c r="AW383" t="inlineStr">
        <is>
          <t>991005356889702656</t>
        </is>
      </c>
      <c r="AX383" t="inlineStr">
        <is>
          <t>991005356889702656</t>
        </is>
      </c>
      <c r="AY383" t="inlineStr">
        <is>
          <t>2270552310002656</t>
        </is>
      </c>
      <c r="AZ383" t="inlineStr">
        <is>
          <t>BOOK</t>
        </is>
      </c>
      <c r="BC383" t="inlineStr">
        <is>
          <t>32285002792165</t>
        </is>
      </c>
      <c r="BD383" t="inlineStr">
        <is>
          <t>893520937</t>
        </is>
      </c>
    </row>
    <row r="384">
      <c r="A384" t="inlineStr">
        <is>
          <t>No</t>
        </is>
      </c>
      <c r="B384" t="inlineStr">
        <is>
          <t>QD151 .G52 NO. 68 PT. A2</t>
        </is>
      </c>
      <c r="C384" t="inlineStr">
        <is>
          <t>0                      QD 0151000G  52                                                      NO. 68 PT. A2</t>
        </is>
      </c>
      <c r="D384" t="inlineStr">
        <is>
          <t>Gmelins Handbuch der anorganischen chemie.</t>
        </is>
      </c>
      <c r="E384" t="inlineStr">
        <is>
          <t>NO. 68 PT. A2*</t>
        </is>
      </c>
      <c r="F384" t="inlineStr">
        <is>
          <t>Yes</t>
        </is>
      </c>
      <c r="G384" t="inlineStr">
        <is>
          <t>1</t>
        </is>
      </c>
      <c r="H384" t="inlineStr">
        <is>
          <t>No</t>
        </is>
      </c>
      <c r="I384" t="inlineStr">
        <is>
          <t>No</t>
        </is>
      </c>
      <c r="J384" t="inlineStr">
        <is>
          <t>0</t>
        </is>
      </c>
      <c r="L384" t="inlineStr">
        <is>
          <t>Leipzig-Berlin, Verlag Chemie g.m.b.h., 1924-</t>
        </is>
      </c>
      <c r="M384" t="inlineStr">
        <is>
          <t>1924</t>
        </is>
      </c>
      <c r="N384" t="inlineStr">
        <is>
          <t>8. aufl. Hrsg. von der Deutschen chemischen gesellschaft, bearb. von R.J. Meyer, unter beratender mitwirkung von Franz Peters.</t>
        </is>
      </c>
      <c r="O384" t="inlineStr">
        <is>
          <t>ger</t>
        </is>
      </c>
      <c r="P384" t="inlineStr">
        <is>
          <t xml:space="preserve">xx </t>
        </is>
      </c>
      <c r="R384" t="inlineStr">
        <is>
          <t xml:space="preserve">QD </t>
        </is>
      </c>
      <c r="S384" t="n">
        <v>1</v>
      </c>
      <c r="T384" t="n">
        <v>324</v>
      </c>
      <c r="U384" t="inlineStr">
        <is>
          <t>1998-07-27</t>
        </is>
      </c>
      <c r="V384" t="inlineStr">
        <is>
          <t>1998-07-28</t>
        </is>
      </c>
      <c r="W384" t="inlineStr">
        <is>
          <t>1997-06-09</t>
        </is>
      </c>
      <c r="X384" t="inlineStr">
        <is>
          <t>1998-06-24</t>
        </is>
      </c>
      <c r="Y384" t="n">
        <v>259</v>
      </c>
      <c r="Z384" t="n">
        <v>221</v>
      </c>
      <c r="AA384" t="n">
        <v>223</v>
      </c>
      <c r="AB384" t="n">
        <v>2</v>
      </c>
      <c r="AC384" t="n">
        <v>2</v>
      </c>
      <c r="AD384" t="n">
        <v>10</v>
      </c>
      <c r="AE384" t="n">
        <v>10</v>
      </c>
      <c r="AF384" t="n">
        <v>2</v>
      </c>
      <c r="AG384" t="n">
        <v>2</v>
      </c>
      <c r="AH384" t="n">
        <v>2</v>
      </c>
      <c r="AI384" t="n">
        <v>2</v>
      </c>
      <c r="AJ384" t="n">
        <v>8</v>
      </c>
      <c r="AK384" t="n">
        <v>8</v>
      </c>
      <c r="AL384" t="n">
        <v>1</v>
      </c>
      <c r="AM384" t="n">
        <v>1</v>
      </c>
      <c r="AN384" t="n">
        <v>0</v>
      </c>
      <c r="AO384" t="n">
        <v>0</v>
      </c>
      <c r="AP384" t="inlineStr">
        <is>
          <t>No</t>
        </is>
      </c>
      <c r="AQ384" t="inlineStr">
        <is>
          <t>Yes</t>
        </is>
      </c>
      <c r="AR384">
        <f>HYPERLINK("http://catalog.hathitrust.org/Record/009932175","HathiTrust Record")</f>
        <v/>
      </c>
      <c r="AS384">
        <f>HYPERLINK("https://creighton-primo.hosted.exlibrisgroup.com/primo-explore/search?tab=default_tab&amp;search_scope=EVERYTHING&amp;vid=01CRU&amp;lang=en_US&amp;offset=0&amp;query=any,contains,991005356889702656","Catalog Record")</f>
        <v/>
      </c>
      <c r="AT384">
        <f>HYPERLINK("http://www.worldcat.org/oclc/802031","WorldCat Record")</f>
        <v/>
      </c>
      <c r="AU384" t="inlineStr">
        <is>
          <t>4924721893:ger</t>
        </is>
      </c>
      <c r="AV384" t="inlineStr">
        <is>
          <t>802031</t>
        </is>
      </c>
      <c r="AW384" t="inlineStr">
        <is>
          <t>991005356889702656</t>
        </is>
      </c>
      <c r="AX384" t="inlineStr">
        <is>
          <t>991005356889702656</t>
        </is>
      </c>
      <c r="AY384" t="inlineStr">
        <is>
          <t>2270552310002656</t>
        </is>
      </c>
      <c r="AZ384" t="inlineStr">
        <is>
          <t>BOOK</t>
        </is>
      </c>
      <c r="BC384" t="inlineStr">
        <is>
          <t>32285002792173</t>
        </is>
      </c>
      <c r="BD384" t="inlineStr">
        <is>
          <t>893514508</t>
        </is>
      </c>
    </row>
    <row r="385">
      <c r="A385" t="inlineStr">
        <is>
          <t>No</t>
        </is>
      </c>
      <c r="B385" t="inlineStr">
        <is>
          <t>QD151 .G52 NO. 68 PT. A3</t>
        </is>
      </c>
      <c r="C385" t="inlineStr">
        <is>
          <t>0                      QD 0151000G  52                                                      NO. 68 PT. A3</t>
        </is>
      </c>
      <c r="D385" t="inlineStr">
        <is>
          <t>Gmelins Handbuch der anorganischen chemie.</t>
        </is>
      </c>
      <c r="E385" t="inlineStr">
        <is>
          <t>NO. 68 PT. A3*</t>
        </is>
      </c>
      <c r="F385" t="inlineStr">
        <is>
          <t>Yes</t>
        </is>
      </c>
      <c r="G385" t="inlineStr">
        <is>
          <t>1</t>
        </is>
      </c>
      <c r="H385" t="inlineStr">
        <is>
          <t>No</t>
        </is>
      </c>
      <c r="I385" t="inlineStr">
        <is>
          <t>No</t>
        </is>
      </c>
      <c r="J385" t="inlineStr">
        <is>
          <t>0</t>
        </is>
      </c>
      <c r="L385" t="inlineStr">
        <is>
          <t>Leipzig-Berlin, Verlag Chemie g.m.b.h., 1924-</t>
        </is>
      </c>
      <c r="M385" t="inlineStr">
        <is>
          <t>1924</t>
        </is>
      </c>
      <c r="N385" t="inlineStr">
        <is>
          <t>8. aufl. Hrsg. von der Deutschen chemischen gesellschaft, bearb. von R.J. Meyer, unter beratender mitwirkung von Franz Peters.</t>
        </is>
      </c>
      <c r="O385" t="inlineStr">
        <is>
          <t>ger</t>
        </is>
      </c>
      <c r="P385" t="inlineStr">
        <is>
          <t xml:space="preserve">xx </t>
        </is>
      </c>
      <c r="R385" t="inlineStr">
        <is>
          <t xml:space="preserve">QD </t>
        </is>
      </c>
      <c r="S385" t="n">
        <v>1</v>
      </c>
      <c r="T385" t="n">
        <v>324</v>
      </c>
      <c r="U385" t="inlineStr">
        <is>
          <t>1998-07-27</t>
        </is>
      </c>
      <c r="V385" t="inlineStr">
        <is>
          <t>1998-07-28</t>
        </is>
      </c>
      <c r="W385" t="inlineStr">
        <is>
          <t>1997-06-09</t>
        </is>
      </c>
      <c r="X385" t="inlineStr">
        <is>
          <t>1998-06-24</t>
        </is>
      </c>
      <c r="Y385" t="n">
        <v>259</v>
      </c>
      <c r="Z385" t="n">
        <v>221</v>
      </c>
      <c r="AA385" t="n">
        <v>223</v>
      </c>
      <c r="AB385" t="n">
        <v>2</v>
      </c>
      <c r="AC385" t="n">
        <v>2</v>
      </c>
      <c r="AD385" t="n">
        <v>10</v>
      </c>
      <c r="AE385" t="n">
        <v>10</v>
      </c>
      <c r="AF385" t="n">
        <v>2</v>
      </c>
      <c r="AG385" t="n">
        <v>2</v>
      </c>
      <c r="AH385" t="n">
        <v>2</v>
      </c>
      <c r="AI385" t="n">
        <v>2</v>
      </c>
      <c r="AJ385" t="n">
        <v>8</v>
      </c>
      <c r="AK385" t="n">
        <v>8</v>
      </c>
      <c r="AL385" t="n">
        <v>1</v>
      </c>
      <c r="AM385" t="n">
        <v>1</v>
      </c>
      <c r="AN385" t="n">
        <v>0</v>
      </c>
      <c r="AO385" t="n">
        <v>0</v>
      </c>
      <c r="AP385" t="inlineStr">
        <is>
          <t>No</t>
        </is>
      </c>
      <c r="AQ385" t="inlineStr">
        <is>
          <t>Yes</t>
        </is>
      </c>
      <c r="AR385">
        <f>HYPERLINK("http://catalog.hathitrust.org/Record/009932175","HathiTrust Record")</f>
        <v/>
      </c>
      <c r="AS385">
        <f>HYPERLINK("https://creighton-primo.hosted.exlibrisgroup.com/primo-explore/search?tab=default_tab&amp;search_scope=EVERYTHING&amp;vid=01CRU&amp;lang=en_US&amp;offset=0&amp;query=any,contains,991005356889702656","Catalog Record")</f>
        <v/>
      </c>
      <c r="AT385">
        <f>HYPERLINK("http://www.worldcat.org/oclc/802031","WorldCat Record")</f>
        <v/>
      </c>
      <c r="AU385" t="inlineStr">
        <is>
          <t>4924721893:ger</t>
        </is>
      </c>
      <c r="AV385" t="inlineStr">
        <is>
          <t>802031</t>
        </is>
      </c>
      <c r="AW385" t="inlineStr">
        <is>
          <t>991005356889702656</t>
        </is>
      </c>
      <c r="AX385" t="inlineStr">
        <is>
          <t>991005356889702656</t>
        </is>
      </c>
      <c r="AY385" t="inlineStr">
        <is>
          <t>2270552310002656</t>
        </is>
      </c>
      <c r="AZ385" t="inlineStr">
        <is>
          <t>BOOK</t>
        </is>
      </c>
      <c r="BC385" t="inlineStr">
        <is>
          <t>32285002792181</t>
        </is>
      </c>
      <c r="BD385" t="inlineStr">
        <is>
          <t>893520936</t>
        </is>
      </c>
    </row>
    <row r="386">
      <c r="A386" t="inlineStr">
        <is>
          <t>No</t>
        </is>
      </c>
      <c r="B386" t="inlineStr">
        <is>
          <t>QD151 .G52 NO. 68 PT. A4</t>
        </is>
      </c>
      <c r="C386" t="inlineStr">
        <is>
          <t>0                      QD 0151000G  52                                                      NO. 68 PT. A4</t>
        </is>
      </c>
      <c r="D386" t="inlineStr">
        <is>
          <t>Gmelins Handbuch der anorganischen chemie.</t>
        </is>
      </c>
      <c r="E386" t="inlineStr">
        <is>
          <t>NO. 68 PT. A4*</t>
        </is>
      </c>
      <c r="F386" t="inlineStr">
        <is>
          <t>Yes</t>
        </is>
      </c>
      <c r="G386" t="inlineStr">
        <is>
          <t>1</t>
        </is>
      </c>
      <c r="H386" t="inlineStr">
        <is>
          <t>No</t>
        </is>
      </c>
      <c r="I386" t="inlineStr">
        <is>
          <t>No</t>
        </is>
      </c>
      <c r="J386" t="inlineStr">
        <is>
          <t>0</t>
        </is>
      </c>
      <c r="L386" t="inlineStr">
        <is>
          <t>Leipzig-Berlin, Verlag Chemie g.m.b.h., 1924-</t>
        </is>
      </c>
      <c r="M386" t="inlineStr">
        <is>
          <t>1924</t>
        </is>
      </c>
      <c r="N386" t="inlineStr">
        <is>
          <t>8. aufl. Hrsg. von der Deutschen chemischen gesellschaft, bearb. von R.J. Meyer, unter beratender mitwirkung von Franz Peters.</t>
        </is>
      </c>
      <c r="O386" t="inlineStr">
        <is>
          <t>ger</t>
        </is>
      </c>
      <c r="P386" t="inlineStr">
        <is>
          <t xml:space="preserve">xx </t>
        </is>
      </c>
      <c r="R386" t="inlineStr">
        <is>
          <t xml:space="preserve">QD </t>
        </is>
      </c>
      <c r="S386" t="n">
        <v>1</v>
      </c>
      <c r="T386" t="n">
        <v>324</v>
      </c>
      <c r="U386" t="inlineStr">
        <is>
          <t>1998-07-27</t>
        </is>
      </c>
      <c r="V386" t="inlineStr">
        <is>
          <t>1998-07-28</t>
        </is>
      </c>
      <c r="W386" t="inlineStr">
        <is>
          <t>1997-06-09</t>
        </is>
      </c>
      <c r="X386" t="inlineStr">
        <is>
          <t>1998-06-24</t>
        </is>
      </c>
      <c r="Y386" t="n">
        <v>259</v>
      </c>
      <c r="Z386" t="n">
        <v>221</v>
      </c>
      <c r="AA386" t="n">
        <v>223</v>
      </c>
      <c r="AB386" t="n">
        <v>2</v>
      </c>
      <c r="AC386" t="n">
        <v>2</v>
      </c>
      <c r="AD386" t="n">
        <v>10</v>
      </c>
      <c r="AE386" t="n">
        <v>10</v>
      </c>
      <c r="AF386" t="n">
        <v>2</v>
      </c>
      <c r="AG386" t="n">
        <v>2</v>
      </c>
      <c r="AH386" t="n">
        <v>2</v>
      </c>
      <c r="AI386" t="n">
        <v>2</v>
      </c>
      <c r="AJ386" t="n">
        <v>8</v>
      </c>
      <c r="AK386" t="n">
        <v>8</v>
      </c>
      <c r="AL386" t="n">
        <v>1</v>
      </c>
      <c r="AM386" t="n">
        <v>1</v>
      </c>
      <c r="AN386" t="n">
        <v>0</v>
      </c>
      <c r="AO386" t="n">
        <v>0</v>
      </c>
      <c r="AP386" t="inlineStr">
        <is>
          <t>No</t>
        </is>
      </c>
      <c r="AQ386" t="inlineStr">
        <is>
          <t>Yes</t>
        </is>
      </c>
      <c r="AR386">
        <f>HYPERLINK("http://catalog.hathitrust.org/Record/009932175","HathiTrust Record")</f>
        <v/>
      </c>
      <c r="AS386">
        <f>HYPERLINK("https://creighton-primo.hosted.exlibrisgroup.com/primo-explore/search?tab=default_tab&amp;search_scope=EVERYTHING&amp;vid=01CRU&amp;lang=en_US&amp;offset=0&amp;query=any,contains,991005356889702656","Catalog Record")</f>
        <v/>
      </c>
      <c r="AT386">
        <f>HYPERLINK("http://www.worldcat.org/oclc/802031","WorldCat Record")</f>
        <v/>
      </c>
      <c r="AU386" t="inlineStr">
        <is>
          <t>4924721893:ger</t>
        </is>
      </c>
      <c r="AV386" t="inlineStr">
        <is>
          <t>802031</t>
        </is>
      </c>
      <c r="AW386" t="inlineStr">
        <is>
          <t>991005356889702656</t>
        </is>
      </c>
      <c r="AX386" t="inlineStr">
        <is>
          <t>991005356889702656</t>
        </is>
      </c>
      <c r="AY386" t="inlineStr">
        <is>
          <t>2270552310002656</t>
        </is>
      </c>
      <c r="AZ386" t="inlineStr">
        <is>
          <t>BOOK</t>
        </is>
      </c>
      <c r="BC386" t="inlineStr">
        <is>
          <t>32285002792199</t>
        </is>
      </c>
      <c r="BD386" t="inlineStr">
        <is>
          <t>893514507</t>
        </is>
      </c>
    </row>
    <row r="387">
      <c r="A387" t="inlineStr">
        <is>
          <t>No</t>
        </is>
      </c>
      <c r="B387" t="inlineStr">
        <is>
          <t>QD151 .G52 NO. 68 PT. A5</t>
        </is>
      </c>
      <c r="C387" t="inlineStr">
        <is>
          <t>0                      QD 0151000G  52                                                      NO. 68 PT. A5</t>
        </is>
      </c>
      <c r="D387" t="inlineStr">
        <is>
          <t>Gmelins Handbuch der anorganischen chemie.</t>
        </is>
      </c>
      <c r="E387" t="inlineStr">
        <is>
          <t>NO. 68 PT. A5*</t>
        </is>
      </c>
      <c r="F387" t="inlineStr">
        <is>
          <t>Yes</t>
        </is>
      </c>
      <c r="G387" t="inlineStr">
        <is>
          <t>1</t>
        </is>
      </c>
      <c r="H387" t="inlineStr">
        <is>
          <t>No</t>
        </is>
      </c>
      <c r="I387" t="inlineStr">
        <is>
          <t>No</t>
        </is>
      </c>
      <c r="J387" t="inlineStr">
        <is>
          <t>0</t>
        </is>
      </c>
      <c r="L387" t="inlineStr">
        <is>
          <t>Leipzig-Berlin, Verlag Chemie g.m.b.h., 1924-</t>
        </is>
      </c>
      <c r="M387" t="inlineStr">
        <is>
          <t>1924</t>
        </is>
      </c>
      <c r="N387" t="inlineStr">
        <is>
          <t>8. aufl. Hrsg. von der Deutschen chemischen gesellschaft, bearb. von R.J. Meyer, unter beratender mitwirkung von Franz Peters.</t>
        </is>
      </c>
      <c r="O387" t="inlineStr">
        <is>
          <t>ger</t>
        </is>
      </c>
      <c r="P387" t="inlineStr">
        <is>
          <t xml:space="preserve">xx </t>
        </is>
      </c>
      <c r="R387" t="inlineStr">
        <is>
          <t xml:space="preserve">QD </t>
        </is>
      </c>
      <c r="S387" t="n">
        <v>1</v>
      </c>
      <c r="T387" t="n">
        <v>324</v>
      </c>
      <c r="U387" t="inlineStr">
        <is>
          <t>1998-07-27</t>
        </is>
      </c>
      <c r="V387" t="inlineStr">
        <is>
          <t>1998-07-28</t>
        </is>
      </c>
      <c r="W387" t="inlineStr">
        <is>
          <t>1997-06-09</t>
        </is>
      </c>
      <c r="X387" t="inlineStr">
        <is>
          <t>1998-06-24</t>
        </is>
      </c>
      <c r="Y387" t="n">
        <v>259</v>
      </c>
      <c r="Z387" t="n">
        <v>221</v>
      </c>
      <c r="AA387" t="n">
        <v>223</v>
      </c>
      <c r="AB387" t="n">
        <v>2</v>
      </c>
      <c r="AC387" t="n">
        <v>2</v>
      </c>
      <c r="AD387" t="n">
        <v>10</v>
      </c>
      <c r="AE387" t="n">
        <v>10</v>
      </c>
      <c r="AF387" t="n">
        <v>2</v>
      </c>
      <c r="AG387" t="n">
        <v>2</v>
      </c>
      <c r="AH387" t="n">
        <v>2</v>
      </c>
      <c r="AI387" t="n">
        <v>2</v>
      </c>
      <c r="AJ387" t="n">
        <v>8</v>
      </c>
      <c r="AK387" t="n">
        <v>8</v>
      </c>
      <c r="AL387" t="n">
        <v>1</v>
      </c>
      <c r="AM387" t="n">
        <v>1</v>
      </c>
      <c r="AN387" t="n">
        <v>0</v>
      </c>
      <c r="AO387" t="n">
        <v>0</v>
      </c>
      <c r="AP387" t="inlineStr">
        <is>
          <t>No</t>
        </is>
      </c>
      <c r="AQ387" t="inlineStr">
        <is>
          <t>Yes</t>
        </is>
      </c>
      <c r="AR387">
        <f>HYPERLINK("http://catalog.hathitrust.org/Record/009932175","HathiTrust Record")</f>
        <v/>
      </c>
      <c r="AS387">
        <f>HYPERLINK("https://creighton-primo.hosted.exlibrisgroup.com/primo-explore/search?tab=default_tab&amp;search_scope=EVERYTHING&amp;vid=01CRU&amp;lang=en_US&amp;offset=0&amp;query=any,contains,991005356889702656","Catalog Record")</f>
        <v/>
      </c>
      <c r="AT387">
        <f>HYPERLINK("http://www.worldcat.org/oclc/802031","WorldCat Record")</f>
        <v/>
      </c>
      <c r="AU387" t="inlineStr">
        <is>
          <t>4924721893:ger</t>
        </is>
      </c>
      <c r="AV387" t="inlineStr">
        <is>
          <t>802031</t>
        </is>
      </c>
      <c r="AW387" t="inlineStr">
        <is>
          <t>991005356889702656</t>
        </is>
      </c>
      <c r="AX387" t="inlineStr">
        <is>
          <t>991005356889702656</t>
        </is>
      </c>
      <c r="AY387" t="inlineStr">
        <is>
          <t>2270552310002656</t>
        </is>
      </c>
      <c r="AZ387" t="inlineStr">
        <is>
          <t>BOOK</t>
        </is>
      </c>
      <c r="BC387" t="inlineStr">
        <is>
          <t>32285002792207</t>
        </is>
      </c>
      <c r="BD387" t="inlineStr">
        <is>
          <t>893520972</t>
        </is>
      </c>
    </row>
    <row r="388">
      <c r="A388" t="inlineStr">
        <is>
          <t>No</t>
        </is>
      </c>
      <c r="B388" t="inlineStr">
        <is>
          <t>QD151 .G52 NO. 68 PT. A6</t>
        </is>
      </c>
      <c r="C388" t="inlineStr">
        <is>
          <t>0                      QD 0151000G  52                                                      NO. 68 PT. A6</t>
        </is>
      </c>
      <c r="D388" t="inlineStr">
        <is>
          <t>Gmelins Handbuch der anorganischen chemie.</t>
        </is>
      </c>
      <c r="E388" t="inlineStr">
        <is>
          <t>NO. 68 PT. A6*</t>
        </is>
      </c>
      <c r="F388" t="inlineStr">
        <is>
          <t>Yes</t>
        </is>
      </c>
      <c r="G388" t="inlineStr">
        <is>
          <t>1</t>
        </is>
      </c>
      <c r="H388" t="inlineStr">
        <is>
          <t>No</t>
        </is>
      </c>
      <c r="I388" t="inlineStr">
        <is>
          <t>No</t>
        </is>
      </c>
      <c r="J388" t="inlineStr">
        <is>
          <t>0</t>
        </is>
      </c>
      <c r="L388" t="inlineStr">
        <is>
          <t>Leipzig-Berlin, Verlag Chemie g.m.b.h., 1924-</t>
        </is>
      </c>
      <c r="M388" t="inlineStr">
        <is>
          <t>1924</t>
        </is>
      </c>
      <c r="N388" t="inlineStr">
        <is>
          <t>8. aufl. Hrsg. von der Deutschen chemischen gesellschaft, bearb. von R.J. Meyer, unter beratender mitwirkung von Franz Peters.</t>
        </is>
      </c>
      <c r="O388" t="inlineStr">
        <is>
          <t>ger</t>
        </is>
      </c>
      <c r="P388" t="inlineStr">
        <is>
          <t xml:space="preserve">xx </t>
        </is>
      </c>
      <c r="R388" t="inlineStr">
        <is>
          <t xml:space="preserve">QD </t>
        </is>
      </c>
      <c r="S388" t="n">
        <v>1</v>
      </c>
      <c r="T388" t="n">
        <v>324</v>
      </c>
      <c r="U388" t="inlineStr">
        <is>
          <t>1998-07-27</t>
        </is>
      </c>
      <c r="V388" t="inlineStr">
        <is>
          <t>1998-07-28</t>
        </is>
      </c>
      <c r="W388" t="inlineStr">
        <is>
          <t>1997-06-09</t>
        </is>
      </c>
      <c r="X388" t="inlineStr">
        <is>
          <t>1998-06-24</t>
        </is>
      </c>
      <c r="Y388" t="n">
        <v>259</v>
      </c>
      <c r="Z388" t="n">
        <v>221</v>
      </c>
      <c r="AA388" t="n">
        <v>223</v>
      </c>
      <c r="AB388" t="n">
        <v>2</v>
      </c>
      <c r="AC388" t="n">
        <v>2</v>
      </c>
      <c r="AD388" t="n">
        <v>10</v>
      </c>
      <c r="AE388" t="n">
        <v>10</v>
      </c>
      <c r="AF388" t="n">
        <v>2</v>
      </c>
      <c r="AG388" t="n">
        <v>2</v>
      </c>
      <c r="AH388" t="n">
        <v>2</v>
      </c>
      <c r="AI388" t="n">
        <v>2</v>
      </c>
      <c r="AJ388" t="n">
        <v>8</v>
      </c>
      <c r="AK388" t="n">
        <v>8</v>
      </c>
      <c r="AL388" t="n">
        <v>1</v>
      </c>
      <c r="AM388" t="n">
        <v>1</v>
      </c>
      <c r="AN388" t="n">
        <v>0</v>
      </c>
      <c r="AO388" t="n">
        <v>0</v>
      </c>
      <c r="AP388" t="inlineStr">
        <is>
          <t>No</t>
        </is>
      </c>
      <c r="AQ388" t="inlineStr">
        <is>
          <t>Yes</t>
        </is>
      </c>
      <c r="AR388">
        <f>HYPERLINK("http://catalog.hathitrust.org/Record/009932175","HathiTrust Record")</f>
        <v/>
      </c>
      <c r="AS388">
        <f>HYPERLINK("https://creighton-primo.hosted.exlibrisgroup.com/primo-explore/search?tab=default_tab&amp;search_scope=EVERYTHING&amp;vid=01CRU&amp;lang=en_US&amp;offset=0&amp;query=any,contains,991005356889702656","Catalog Record")</f>
        <v/>
      </c>
      <c r="AT388">
        <f>HYPERLINK("http://www.worldcat.org/oclc/802031","WorldCat Record")</f>
        <v/>
      </c>
      <c r="AU388" t="inlineStr">
        <is>
          <t>4924721893:ger</t>
        </is>
      </c>
      <c r="AV388" t="inlineStr">
        <is>
          <t>802031</t>
        </is>
      </c>
      <c r="AW388" t="inlineStr">
        <is>
          <t>991005356889702656</t>
        </is>
      </c>
      <c r="AX388" t="inlineStr">
        <is>
          <t>991005356889702656</t>
        </is>
      </c>
      <c r="AY388" t="inlineStr">
        <is>
          <t>2270552310002656</t>
        </is>
      </c>
      <c r="AZ388" t="inlineStr">
        <is>
          <t>BOOK</t>
        </is>
      </c>
      <c r="BC388" t="inlineStr">
        <is>
          <t>32285002792215</t>
        </is>
      </c>
      <c r="BD388" t="inlineStr">
        <is>
          <t>893527432</t>
        </is>
      </c>
    </row>
    <row r="389">
      <c r="A389" t="inlineStr">
        <is>
          <t>No</t>
        </is>
      </c>
      <c r="B389" t="inlineStr">
        <is>
          <t>QD151 .G52 NO. 68 PT. B1</t>
        </is>
      </c>
      <c r="C389" t="inlineStr">
        <is>
          <t>0                      QD 0151000G  52                                                      NO. 68 PT. B1</t>
        </is>
      </c>
      <c r="D389" t="inlineStr">
        <is>
          <t>Gmelins Handbuch der anorganischen chemie.</t>
        </is>
      </c>
      <c r="E389" t="inlineStr">
        <is>
          <t>NO. 68 PT. B1*</t>
        </is>
      </c>
      <c r="F389" t="inlineStr">
        <is>
          <t>Yes</t>
        </is>
      </c>
      <c r="G389" t="inlineStr">
        <is>
          <t>1</t>
        </is>
      </c>
      <c r="H389" t="inlineStr">
        <is>
          <t>No</t>
        </is>
      </c>
      <c r="I389" t="inlineStr">
        <is>
          <t>No</t>
        </is>
      </c>
      <c r="J389" t="inlineStr">
        <is>
          <t>0</t>
        </is>
      </c>
      <c r="L389" t="inlineStr">
        <is>
          <t>Leipzig-Berlin, Verlag Chemie g.m.b.h., 1924-</t>
        </is>
      </c>
      <c r="M389" t="inlineStr">
        <is>
          <t>1924</t>
        </is>
      </c>
      <c r="N389" t="inlineStr">
        <is>
          <t>8. aufl. Hrsg. von der Deutschen chemischen gesellschaft, bearb. von R.J. Meyer, unter beratender mitwirkung von Franz Peters.</t>
        </is>
      </c>
      <c r="O389" t="inlineStr">
        <is>
          <t>ger</t>
        </is>
      </c>
      <c r="P389" t="inlineStr">
        <is>
          <t xml:space="preserve">xx </t>
        </is>
      </c>
      <c r="R389" t="inlineStr">
        <is>
          <t xml:space="preserve">QD </t>
        </is>
      </c>
      <c r="S389" t="n">
        <v>1</v>
      </c>
      <c r="T389" t="n">
        <v>324</v>
      </c>
      <c r="U389" t="inlineStr">
        <is>
          <t>1998-07-27</t>
        </is>
      </c>
      <c r="V389" t="inlineStr">
        <is>
          <t>1998-07-28</t>
        </is>
      </c>
      <c r="W389" t="inlineStr">
        <is>
          <t>1997-06-09</t>
        </is>
      </c>
      <c r="X389" t="inlineStr">
        <is>
          <t>1998-06-24</t>
        </is>
      </c>
      <c r="Y389" t="n">
        <v>259</v>
      </c>
      <c r="Z389" t="n">
        <v>221</v>
      </c>
      <c r="AA389" t="n">
        <v>223</v>
      </c>
      <c r="AB389" t="n">
        <v>2</v>
      </c>
      <c r="AC389" t="n">
        <v>2</v>
      </c>
      <c r="AD389" t="n">
        <v>10</v>
      </c>
      <c r="AE389" t="n">
        <v>10</v>
      </c>
      <c r="AF389" t="n">
        <v>2</v>
      </c>
      <c r="AG389" t="n">
        <v>2</v>
      </c>
      <c r="AH389" t="n">
        <v>2</v>
      </c>
      <c r="AI389" t="n">
        <v>2</v>
      </c>
      <c r="AJ389" t="n">
        <v>8</v>
      </c>
      <c r="AK389" t="n">
        <v>8</v>
      </c>
      <c r="AL389" t="n">
        <v>1</v>
      </c>
      <c r="AM389" t="n">
        <v>1</v>
      </c>
      <c r="AN389" t="n">
        <v>0</v>
      </c>
      <c r="AO389" t="n">
        <v>0</v>
      </c>
      <c r="AP389" t="inlineStr">
        <is>
          <t>No</t>
        </is>
      </c>
      <c r="AQ389" t="inlineStr">
        <is>
          <t>Yes</t>
        </is>
      </c>
      <c r="AR389">
        <f>HYPERLINK("http://catalog.hathitrust.org/Record/009932175","HathiTrust Record")</f>
        <v/>
      </c>
      <c r="AS389">
        <f>HYPERLINK("https://creighton-primo.hosted.exlibrisgroup.com/primo-explore/search?tab=default_tab&amp;search_scope=EVERYTHING&amp;vid=01CRU&amp;lang=en_US&amp;offset=0&amp;query=any,contains,991005356889702656","Catalog Record")</f>
        <v/>
      </c>
      <c r="AT389">
        <f>HYPERLINK("http://www.worldcat.org/oclc/802031","WorldCat Record")</f>
        <v/>
      </c>
      <c r="AU389" t="inlineStr">
        <is>
          <t>4924721893:ger</t>
        </is>
      </c>
      <c r="AV389" t="inlineStr">
        <is>
          <t>802031</t>
        </is>
      </c>
      <c r="AW389" t="inlineStr">
        <is>
          <t>991005356889702656</t>
        </is>
      </c>
      <c r="AX389" t="inlineStr">
        <is>
          <t>991005356889702656</t>
        </is>
      </c>
      <c r="AY389" t="inlineStr">
        <is>
          <t>2270552310002656</t>
        </is>
      </c>
      <c r="AZ389" t="inlineStr">
        <is>
          <t>BOOK</t>
        </is>
      </c>
      <c r="BC389" t="inlineStr">
        <is>
          <t>32285002792223</t>
        </is>
      </c>
      <c r="BD389" t="inlineStr">
        <is>
          <t>893508064</t>
        </is>
      </c>
    </row>
    <row r="390">
      <c r="A390" t="inlineStr">
        <is>
          <t>No</t>
        </is>
      </c>
      <c r="B390" t="inlineStr">
        <is>
          <t>QD151 .G52 NO. 68 PT. B2</t>
        </is>
      </c>
      <c r="C390" t="inlineStr">
        <is>
          <t>0                      QD 0151000G  52                                                      NO. 68 PT. B2</t>
        </is>
      </c>
      <c r="D390" t="inlineStr">
        <is>
          <t>Gmelins Handbuch der anorganischen chemie.</t>
        </is>
      </c>
      <c r="E390" t="inlineStr">
        <is>
          <t>NO. 68 PT. B2*</t>
        </is>
      </c>
      <c r="F390" t="inlineStr">
        <is>
          <t>Yes</t>
        </is>
      </c>
      <c r="G390" t="inlineStr">
        <is>
          <t>1</t>
        </is>
      </c>
      <c r="H390" t="inlineStr">
        <is>
          <t>No</t>
        </is>
      </c>
      <c r="I390" t="inlineStr">
        <is>
          <t>No</t>
        </is>
      </c>
      <c r="J390" t="inlineStr">
        <is>
          <t>0</t>
        </is>
      </c>
      <c r="L390" t="inlineStr">
        <is>
          <t>Leipzig-Berlin, Verlag Chemie g.m.b.h., 1924-</t>
        </is>
      </c>
      <c r="M390" t="inlineStr">
        <is>
          <t>1924</t>
        </is>
      </c>
      <c r="N390" t="inlineStr">
        <is>
          <t>8. aufl. Hrsg. von der Deutschen chemischen gesellschaft, bearb. von R.J. Meyer, unter beratender mitwirkung von Franz Peters.</t>
        </is>
      </c>
      <c r="O390" t="inlineStr">
        <is>
          <t>ger</t>
        </is>
      </c>
      <c r="P390" t="inlineStr">
        <is>
          <t xml:space="preserve">xx </t>
        </is>
      </c>
      <c r="R390" t="inlineStr">
        <is>
          <t xml:space="preserve">QD </t>
        </is>
      </c>
      <c r="S390" t="n">
        <v>1</v>
      </c>
      <c r="T390" t="n">
        <v>324</v>
      </c>
      <c r="U390" t="inlineStr">
        <is>
          <t>1998-07-27</t>
        </is>
      </c>
      <c r="V390" t="inlineStr">
        <is>
          <t>1998-07-28</t>
        </is>
      </c>
      <c r="W390" t="inlineStr">
        <is>
          <t>1997-06-09</t>
        </is>
      </c>
      <c r="X390" t="inlineStr">
        <is>
          <t>1998-06-24</t>
        </is>
      </c>
      <c r="Y390" t="n">
        <v>259</v>
      </c>
      <c r="Z390" t="n">
        <v>221</v>
      </c>
      <c r="AA390" t="n">
        <v>223</v>
      </c>
      <c r="AB390" t="n">
        <v>2</v>
      </c>
      <c r="AC390" t="n">
        <v>2</v>
      </c>
      <c r="AD390" t="n">
        <v>10</v>
      </c>
      <c r="AE390" t="n">
        <v>10</v>
      </c>
      <c r="AF390" t="n">
        <v>2</v>
      </c>
      <c r="AG390" t="n">
        <v>2</v>
      </c>
      <c r="AH390" t="n">
        <v>2</v>
      </c>
      <c r="AI390" t="n">
        <v>2</v>
      </c>
      <c r="AJ390" t="n">
        <v>8</v>
      </c>
      <c r="AK390" t="n">
        <v>8</v>
      </c>
      <c r="AL390" t="n">
        <v>1</v>
      </c>
      <c r="AM390" t="n">
        <v>1</v>
      </c>
      <c r="AN390" t="n">
        <v>0</v>
      </c>
      <c r="AO390" t="n">
        <v>0</v>
      </c>
      <c r="AP390" t="inlineStr">
        <is>
          <t>No</t>
        </is>
      </c>
      <c r="AQ390" t="inlineStr">
        <is>
          <t>Yes</t>
        </is>
      </c>
      <c r="AR390">
        <f>HYPERLINK("http://catalog.hathitrust.org/Record/009932175","HathiTrust Record")</f>
        <v/>
      </c>
      <c r="AS390">
        <f>HYPERLINK("https://creighton-primo.hosted.exlibrisgroup.com/primo-explore/search?tab=default_tab&amp;search_scope=EVERYTHING&amp;vid=01CRU&amp;lang=en_US&amp;offset=0&amp;query=any,contains,991005356889702656","Catalog Record")</f>
        <v/>
      </c>
      <c r="AT390">
        <f>HYPERLINK("http://www.worldcat.org/oclc/802031","WorldCat Record")</f>
        <v/>
      </c>
      <c r="AU390" t="inlineStr">
        <is>
          <t>4924721893:ger</t>
        </is>
      </c>
      <c r="AV390" t="inlineStr">
        <is>
          <t>802031</t>
        </is>
      </c>
      <c r="AW390" t="inlineStr">
        <is>
          <t>991005356889702656</t>
        </is>
      </c>
      <c r="AX390" t="inlineStr">
        <is>
          <t>991005356889702656</t>
        </is>
      </c>
      <c r="AY390" t="inlineStr">
        <is>
          <t>2270552310002656</t>
        </is>
      </c>
      <c r="AZ390" t="inlineStr">
        <is>
          <t>BOOK</t>
        </is>
      </c>
      <c r="BC390" t="inlineStr">
        <is>
          <t>32285002792231</t>
        </is>
      </c>
      <c r="BD390" t="inlineStr">
        <is>
          <t>893514536</t>
        </is>
      </c>
    </row>
    <row r="391">
      <c r="A391" t="inlineStr">
        <is>
          <t>No</t>
        </is>
      </c>
      <c r="B391" t="inlineStr">
        <is>
          <t>QD151 .G52 NO. 68 PT. B3</t>
        </is>
      </c>
      <c r="C391" t="inlineStr">
        <is>
          <t>0                      QD 0151000G  52                                                      NO. 68 PT. B3</t>
        </is>
      </c>
      <c r="D391" t="inlineStr">
        <is>
          <t>Gmelins Handbuch der anorganischen chemie.</t>
        </is>
      </c>
      <c r="E391" t="inlineStr">
        <is>
          <t>NO. 68 PT. B3*</t>
        </is>
      </c>
      <c r="F391" t="inlineStr">
        <is>
          <t>Yes</t>
        </is>
      </c>
      <c r="G391" t="inlineStr">
        <is>
          <t>1</t>
        </is>
      </c>
      <c r="H391" t="inlineStr">
        <is>
          <t>No</t>
        </is>
      </c>
      <c r="I391" t="inlineStr">
        <is>
          <t>No</t>
        </is>
      </c>
      <c r="J391" t="inlineStr">
        <is>
          <t>0</t>
        </is>
      </c>
      <c r="L391" t="inlineStr">
        <is>
          <t>Leipzig-Berlin, Verlag Chemie g.m.b.h., 1924-</t>
        </is>
      </c>
      <c r="M391" t="inlineStr">
        <is>
          <t>1924</t>
        </is>
      </c>
      <c r="N391" t="inlineStr">
        <is>
          <t>8. aufl. Hrsg. von der Deutschen chemischen gesellschaft, bearb. von R.J. Meyer, unter beratender mitwirkung von Franz Peters.</t>
        </is>
      </c>
      <c r="O391" t="inlineStr">
        <is>
          <t>ger</t>
        </is>
      </c>
      <c r="P391" t="inlineStr">
        <is>
          <t xml:space="preserve">xx </t>
        </is>
      </c>
      <c r="R391" t="inlineStr">
        <is>
          <t xml:space="preserve">QD </t>
        </is>
      </c>
      <c r="S391" t="n">
        <v>1</v>
      </c>
      <c r="T391" t="n">
        <v>324</v>
      </c>
      <c r="U391" t="inlineStr">
        <is>
          <t>1998-07-27</t>
        </is>
      </c>
      <c r="V391" t="inlineStr">
        <is>
          <t>1998-07-28</t>
        </is>
      </c>
      <c r="W391" t="inlineStr">
        <is>
          <t>1997-06-09</t>
        </is>
      </c>
      <c r="X391" t="inlineStr">
        <is>
          <t>1998-06-24</t>
        </is>
      </c>
      <c r="Y391" t="n">
        <v>259</v>
      </c>
      <c r="Z391" t="n">
        <v>221</v>
      </c>
      <c r="AA391" t="n">
        <v>223</v>
      </c>
      <c r="AB391" t="n">
        <v>2</v>
      </c>
      <c r="AC391" t="n">
        <v>2</v>
      </c>
      <c r="AD391" t="n">
        <v>10</v>
      </c>
      <c r="AE391" t="n">
        <v>10</v>
      </c>
      <c r="AF391" t="n">
        <v>2</v>
      </c>
      <c r="AG391" t="n">
        <v>2</v>
      </c>
      <c r="AH391" t="n">
        <v>2</v>
      </c>
      <c r="AI391" t="n">
        <v>2</v>
      </c>
      <c r="AJ391" t="n">
        <v>8</v>
      </c>
      <c r="AK391" t="n">
        <v>8</v>
      </c>
      <c r="AL391" t="n">
        <v>1</v>
      </c>
      <c r="AM391" t="n">
        <v>1</v>
      </c>
      <c r="AN391" t="n">
        <v>0</v>
      </c>
      <c r="AO391" t="n">
        <v>0</v>
      </c>
      <c r="AP391" t="inlineStr">
        <is>
          <t>No</t>
        </is>
      </c>
      <c r="AQ391" t="inlineStr">
        <is>
          <t>Yes</t>
        </is>
      </c>
      <c r="AR391">
        <f>HYPERLINK("http://catalog.hathitrust.org/Record/009932175","HathiTrust Record")</f>
        <v/>
      </c>
      <c r="AS391">
        <f>HYPERLINK("https://creighton-primo.hosted.exlibrisgroup.com/primo-explore/search?tab=default_tab&amp;search_scope=EVERYTHING&amp;vid=01CRU&amp;lang=en_US&amp;offset=0&amp;query=any,contains,991005356889702656","Catalog Record")</f>
        <v/>
      </c>
      <c r="AT391">
        <f>HYPERLINK("http://www.worldcat.org/oclc/802031","WorldCat Record")</f>
        <v/>
      </c>
      <c r="AU391" t="inlineStr">
        <is>
          <t>4924721893:ger</t>
        </is>
      </c>
      <c r="AV391" t="inlineStr">
        <is>
          <t>802031</t>
        </is>
      </c>
      <c r="AW391" t="inlineStr">
        <is>
          <t>991005356889702656</t>
        </is>
      </c>
      <c r="AX391" t="inlineStr">
        <is>
          <t>991005356889702656</t>
        </is>
      </c>
      <c r="AY391" t="inlineStr">
        <is>
          <t>2270552310002656</t>
        </is>
      </c>
      <c r="AZ391" t="inlineStr">
        <is>
          <t>BOOK</t>
        </is>
      </c>
      <c r="BC391" t="inlineStr">
        <is>
          <t>32285002792249</t>
        </is>
      </c>
      <c r="BD391" t="inlineStr">
        <is>
          <t>893527431</t>
        </is>
      </c>
    </row>
    <row r="392">
      <c r="A392" t="inlineStr">
        <is>
          <t>No</t>
        </is>
      </c>
      <c r="B392" t="inlineStr">
        <is>
          <t>QD151 .G52 NO. 68 PT. B4</t>
        </is>
      </c>
      <c r="C392" t="inlineStr">
        <is>
          <t>0                      QD 0151000G  52                                                      NO. 68 PT. B4</t>
        </is>
      </c>
      <c r="D392" t="inlineStr">
        <is>
          <t>Gmelins Handbuch der anorganischen chemie.</t>
        </is>
      </c>
      <c r="E392" t="inlineStr">
        <is>
          <t>NO. 68 PT. B4*</t>
        </is>
      </c>
      <c r="F392" t="inlineStr">
        <is>
          <t>Yes</t>
        </is>
      </c>
      <c r="G392" t="inlineStr">
        <is>
          <t>1</t>
        </is>
      </c>
      <c r="H392" t="inlineStr">
        <is>
          <t>No</t>
        </is>
      </c>
      <c r="I392" t="inlineStr">
        <is>
          <t>No</t>
        </is>
      </c>
      <c r="J392" t="inlineStr">
        <is>
          <t>0</t>
        </is>
      </c>
      <c r="L392" t="inlineStr">
        <is>
          <t>Leipzig-Berlin, Verlag Chemie g.m.b.h., 1924-</t>
        </is>
      </c>
      <c r="M392" t="inlineStr">
        <is>
          <t>1924</t>
        </is>
      </c>
      <c r="N392" t="inlineStr">
        <is>
          <t>8. aufl. Hrsg. von der Deutschen chemischen gesellschaft, bearb. von R.J. Meyer, unter beratender mitwirkung von Franz Peters.</t>
        </is>
      </c>
      <c r="O392" t="inlineStr">
        <is>
          <t>ger</t>
        </is>
      </c>
      <c r="P392" t="inlineStr">
        <is>
          <t xml:space="preserve">xx </t>
        </is>
      </c>
      <c r="R392" t="inlineStr">
        <is>
          <t xml:space="preserve">QD </t>
        </is>
      </c>
      <c r="S392" t="n">
        <v>1</v>
      </c>
      <c r="T392" t="n">
        <v>324</v>
      </c>
      <c r="U392" t="inlineStr">
        <is>
          <t>1998-07-27</t>
        </is>
      </c>
      <c r="V392" t="inlineStr">
        <is>
          <t>1998-07-28</t>
        </is>
      </c>
      <c r="W392" t="inlineStr">
        <is>
          <t>1997-06-09</t>
        </is>
      </c>
      <c r="X392" t="inlineStr">
        <is>
          <t>1998-06-24</t>
        </is>
      </c>
      <c r="Y392" t="n">
        <v>259</v>
      </c>
      <c r="Z392" t="n">
        <v>221</v>
      </c>
      <c r="AA392" t="n">
        <v>223</v>
      </c>
      <c r="AB392" t="n">
        <v>2</v>
      </c>
      <c r="AC392" t="n">
        <v>2</v>
      </c>
      <c r="AD392" t="n">
        <v>10</v>
      </c>
      <c r="AE392" t="n">
        <v>10</v>
      </c>
      <c r="AF392" t="n">
        <v>2</v>
      </c>
      <c r="AG392" t="n">
        <v>2</v>
      </c>
      <c r="AH392" t="n">
        <v>2</v>
      </c>
      <c r="AI392" t="n">
        <v>2</v>
      </c>
      <c r="AJ392" t="n">
        <v>8</v>
      </c>
      <c r="AK392" t="n">
        <v>8</v>
      </c>
      <c r="AL392" t="n">
        <v>1</v>
      </c>
      <c r="AM392" t="n">
        <v>1</v>
      </c>
      <c r="AN392" t="n">
        <v>0</v>
      </c>
      <c r="AO392" t="n">
        <v>0</v>
      </c>
      <c r="AP392" t="inlineStr">
        <is>
          <t>No</t>
        </is>
      </c>
      <c r="AQ392" t="inlineStr">
        <is>
          <t>Yes</t>
        </is>
      </c>
      <c r="AR392">
        <f>HYPERLINK("http://catalog.hathitrust.org/Record/009932175","HathiTrust Record")</f>
        <v/>
      </c>
      <c r="AS392">
        <f>HYPERLINK("https://creighton-primo.hosted.exlibrisgroup.com/primo-explore/search?tab=default_tab&amp;search_scope=EVERYTHING&amp;vid=01CRU&amp;lang=en_US&amp;offset=0&amp;query=any,contains,991005356889702656","Catalog Record")</f>
        <v/>
      </c>
      <c r="AT392">
        <f>HYPERLINK("http://www.worldcat.org/oclc/802031","WorldCat Record")</f>
        <v/>
      </c>
      <c r="AU392" t="inlineStr">
        <is>
          <t>4924721893:ger</t>
        </is>
      </c>
      <c r="AV392" t="inlineStr">
        <is>
          <t>802031</t>
        </is>
      </c>
      <c r="AW392" t="inlineStr">
        <is>
          <t>991005356889702656</t>
        </is>
      </c>
      <c r="AX392" t="inlineStr">
        <is>
          <t>991005356889702656</t>
        </is>
      </c>
      <c r="AY392" t="inlineStr">
        <is>
          <t>2270552310002656</t>
        </is>
      </c>
      <c r="AZ392" t="inlineStr">
        <is>
          <t>BOOK</t>
        </is>
      </c>
      <c r="BC392" t="inlineStr">
        <is>
          <t>32285002792256</t>
        </is>
      </c>
      <c r="BD392" t="inlineStr">
        <is>
          <t>893520971</t>
        </is>
      </c>
    </row>
    <row r="393">
      <c r="A393" t="inlineStr">
        <is>
          <t>No</t>
        </is>
      </c>
      <c r="B393" t="inlineStr">
        <is>
          <t>QD151 .G52 NO. 68 PT. C1</t>
        </is>
      </c>
      <c r="C393" t="inlineStr">
        <is>
          <t>0                      QD 0151000G  52                                                      NO. 68 PT. C1</t>
        </is>
      </c>
      <c r="D393" t="inlineStr">
        <is>
          <t>Gmelins Handbuch der anorganischen chemie.</t>
        </is>
      </c>
      <c r="E393" t="inlineStr">
        <is>
          <t>NO. 68 PT. C1*</t>
        </is>
      </c>
      <c r="F393" t="inlineStr">
        <is>
          <t>Yes</t>
        </is>
      </c>
      <c r="G393" t="inlineStr">
        <is>
          <t>1</t>
        </is>
      </c>
      <c r="H393" t="inlineStr">
        <is>
          <t>No</t>
        </is>
      </c>
      <c r="I393" t="inlineStr">
        <is>
          <t>No</t>
        </is>
      </c>
      <c r="J393" t="inlineStr">
        <is>
          <t>0</t>
        </is>
      </c>
      <c r="L393" t="inlineStr">
        <is>
          <t>Leipzig-Berlin, Verlag Chemie g.m.b.h., 1924-</t>
        </is>
      </c>
      <c r="M393" t="inlineStr">
        <is>
          <t>1924</t>
        </is>
      </c>
      <c r="N393" t="inlineStr">
        <is>
          <t>8. aufl. Hrsg. von der Deutschen chemischen gesellschaft, bearb. von R.J. Meyer, unter beratender mitwirkung von Franz Peters.</t>
        </is>
      </c>
      <c r="O393" t="inlineStr">
        <is>
          <t>ger</t>
        </is>
      </c>
      <c r="P393" t="inlineStr">
        <is>
          <t xml:space="preserve">xx </t>
        </is>
      </c>
      <c r="R393" t="inlineStr">
        <is>
          <t xml:space="preserve">QD </t>
        </is>
      </c>
      <c r="S393" t="n">
        <v>1</v>
      </c>
      <c r="T393" t="n">
        <v>324</v>
      </c>
      <c r="U393" t="inlineStr">
        <is>
          <t>1998-07-27</t>
        </is>
      </c>
      <c r="V393" t="inlineStr">
        <is>
          <t>1998-07-28</t>
        </is>
      </c>
      <c r="W393" t="inlineStr">
        <is>
          <t>1997-06-09</t>
        </is>
      </c>
      <c r="X393" t="inlineStr">
        <is>
          <t>1998-06-24</t>
        </is>
      </c>
      <c r="Y393" t="n">
        <v>259</v>
      </c>
      <c r="Z393" t="n">
        <v>221</v>
      </c>
      <c r="AA393" t="n">
        <v>223</v>
      </c>
      <c r="AB393" t="n">
        <v>2</v>
      </c>
      <c r="AC393" t="n">
        <v>2</v>
      </c>
      <c r="AD393" t="n">
        <v>10</v>
      </c>
      <c r="AE393" t="n">
        <v>10</v>
      </c>
      <c r="AF393" t="n">
        <v>2</v>
      </c>
      <c r="AG393" t="n">
        <v>2</v>
      </c>
      <c r="AH393" t="n">
        <v>2</v>
      </c>
      <c r="AI393" t="n">
        <v>2</v>
      </c>
      <c r="AJ393" t="n">
        <v>8</v>
      </c>
      <c r="AK393" t="n">
        <v>8</v>
      </c>
      <c r="AL393" t="n">
        <v>1</v>
      </c>
      <c r="AM393" t="n">
        <v>1</v>
      </c>
      <c r="AN393" t="n">
        <v>0</v>
      </c>
      <c r="AO393" t="n">
        <v>0</v>
      </c>
      <c r="AP393" t="inlineStr">
        <is>
          <t>No</t>
        </is>
      </c>
      <c r="AQ393" t="inlineStr">
        <is>
          <t>Yes</t>
        </is>
      </c>
      <c r="AR393">
        <f>HYPERLINK("http://catalog.hathitrust.org/Record/009932175","HathiTrust Record")</f>
        <v/>
      </c>
      <c r="AS393">
        <f>HYPERLINK("https://creighton-primo.hosted.exlibrisgroup.com/primo-explore/search?tab=default_tab&amp;search_scope=EVERYTHING&amp;vid=01CRU&amp;lang=en_US&amp;offset=0&amp;query=any,contains,991005356889702656","Catalog Record")</f>
        <v/>
      </c>
      <c r="AT393">
        <f>HYPERLINK("http://www.worldcat.org/oclc/802031","WorldCat Record")</f>
        <v/>
      </c>
      <c r="AU393" t="inlineStr">
        <is>
          <t>4924721893:ger</t>
        </is>
      </c>
      <c r="AV393" t="inlineStr">
        <is>
          <t>802031</t>
        </is>
      </c>
      <c r="AW393" t="inlineStr">
        <is>
          <t>991005356889702656</t>
        </is>
      </c>
      <c r="AX393" t="inlineStr">
        <is>
          <t>991005356889702656</t>
        </is>
      </c>
      <c r="AY393" t="inlineStr">
        <is>
          <t>2270552310002656</t>
        </is>
      </c>
      <c r="AZ393" t="inlineStr">
        <is>
          <t>BOOK</t>
        </is>
      </c>
      <c r="BC393" t="inlineStr">
        <is>
          <t>32285002792264</t>
        </is>
      </c>
      <c r="BD393" t="inlineStr">
        <is>
          <t>893520935</t>
        </is>
      </c>
    </row>
    <row r="394">
      <c r="A394" t="inlineStr">
        <is>
          <t>No</t>
        </is>
      </c>
      <c r="B394" t="inlineStr">
        <is>
          <t>QD151 .G52 NO. 68 PT. C2</t>
        </is>
      </c>
      <c r="C394" t="inlineStr">
        <is>
          <t>0                      QD 0151000G  52                                                      NO. 68 PT. C2</t>
        </is>
      </c>
      <c r="D394" t="inlineStr">
        <is>
          <t>Gmelins Handbuch der anorganischen chemie.</t>
        </is>
      </c>
      <c r="E394" t="inlineStr">
        <is>
          <t>NO. 68 PT. C2*</t>
        </is>
      </c>
      <c r="F394" t="inlineStr">
        <is>
          <t>Yes</t>
        </is>
      </c>
      <c r="G394" t="inlineStr">
        <is>
          <t>1</t>
        </is>
      </c>
      <c r="H394" t="inlineStr">
        <is>
          <t>No</t>
        </is>
      </c>
      <c r="I394" t="inlineStr">
        <is>
          <t>No</t>
        </is>
      </c>
      <c r="J394" t="inlineStr">
        <is>
          <t>0</t>
        </is>
      </c>
      <c r="L394" t="inlineStr">
        <is>
          <t>Leipzig-Berlin, Verlag Chemie g.m.b.h., 1924-</t>
        </is>
      </c>
      <c r="M394" t="inlineStr">
        <is>
          <t>1924</t>
        </is>
      </c>
      <c r="N394" t="inlineStr">
        <is>
          <t>8. aufl. Hrsg. von der Deutschen chemischen gesellschaft, bearb. von R.J. Meyer, unter beratender mitwirkung von Franz Peters.</t>
        </is>
      </c>
      <c r="O394" t="inlineStr">
        <is>
          <t>ger</t>
        </is>
      </c>
      <c r="P394" t="inlineStr">
        <is>
          <t xml:space="preserve">xx </t>
        </is>
      </c>
      <c r="R394" t="inlineStr">
        <is>
          <t xml:space="preserve">QD </t>
        </is>
      </c>
      <c r="S394" t="n">
        <v>1</v>
      </c>
      <c r="T394" t="n">
        <v>324</v>
      </c>
      <c r="U394" t="inlineStr">
        <is>
          <t>1998-07-27</t>
        </is>
      </c>
      <c r="V394" t="inlineStr">
        <is>
          <t>1998-07-28</t>
        </is>
      </c>
      <c r="W394" t="inlineStr">
        <is>
          <t>1997-06-09</t>
        </is>
      </c>
      <c r="X394" t="inlineStr">
        <is>
          <t>1998-06-24</t>
        </is>
      </c>
      <c r="Y394" t="n">
        <v>259</v>
      </c>
      <c r="Z394" t="n">
        <v>221</v>
      </c>
      <c r="AA394" t="n">
        <v>223</v>
      </c>
      <c r="AB394" t="n">
        <v>2</v>
      </c>
      <c r="AC394" t="n">
        <v>2</v>
      </c>
      <c r="AD394" t="n">
        <v>10</v>
      </c>
      <c r="AE394" t="n">
        <v>10</v>
      </c>
      <c r="AF394" t="n">
        <v>2</v>
      </c>
      <c r="AG394" t="n">
        <v>2</v>
      </c>
      <c r="AH394" t="n">
        <v>2</v>
      </c>
      <c r="AI394" t="n">
        <v>2</v>
      </c>
      <c r="AJ394" t="n">
        <v>8</v>
      </c>
      <c r="AK394" t="n">
        <v>8</v>
      </c>
      <c r="AL394" t="n">
        <v>1</v>
      </c>
      <c r="AM394" t="n">
        <v>1</v>
      </c>
      <c r="AN394" t="n">
        <v>0</v>
      </c>
      <c r="AO394" t="n">
        <v>0</v>
      </c>
      <c r="AP394" t="inlineStr">
        <is>
          <t>No</t>
        </is>
      </c>
      <c r="AQ394" t="inlineStr">
        <is>
          <t>Yes</t>
        </is>
      </c>
      <c r="AR394">
        <f>HYPERLINK("http://catalog.hathitrust.org/Record/009932175","HathiTrust Record")</f>
        <v/>
      </c>
      <c r="AS394">
        <f>HYPERLINK("https://creighton-primo.hosted.exlibrisgroup.com/primo-explore/search?tab=default_tab&amp;search_scope=EVERYTHING&amp;vid=01CRU&amp;lang=en_US&amp;offset=0&amp;query=any,contains,991005356889702656","Catalog Record")</f>
        <v/>
      </c>
      <c r="AT394">
        <f>HYPERLINK("http://www.worldcat.org/oclc/802031","WorldCat Record")</f>
        <v/>
      </c>
      <c r="AU394" t="inlineStr">
        <is>
          <t>4924721893:ger</t>
        </is>
      </c>
      <c r="AV394" t="inlineStr">
        <is>
          <t>802031</t>
        </is>
      </c>
      <c r="AW394" t="inlineStr">
        <is>
          <t>991005356889702656</t>
        </is>
      </c>
      <c r="AX394" t="inlineStr">
        <is>
          <t>991005356889702656</t>
        </is>
      </c>
      <c r="AY394" t="inlineStr">
        <is>
          <t>2270552310002656</t>
        </is>
      </c>
      <c r="AZ394" t="inlineStr">
        <is>
          <t>BOOK</t>
        </is>
      </c>
      <c r="BC394" t="inlineStr">
        <is>
          <t>32285002792272</t>
        </is>
      </c>
      <c r="BD394" t="inlineStr">
        <is>
          <t>893514535</t>
        </is>
      </c>
    </row>
    <row r="395">
      <c r="A395" t="inlineStr">
        <is>
          <t>No</t>
        </is>
      </c>
      <c r="B395" t="inlineStr">
        <is>
          <t>QD151 .G52 NO. 68 PT. C3</t>
        </is>
      </c>
      <c r="C395" t="inlineStr">
        <is>
          <t>0                      QD 0151000G  52                                                      NO. 68 PT. C3</t>
        </is>
      </c>
      <c r="D395" t="inlineStr">
        <is>
          <t>Gmelins Handbuch der anorganischen chemie.</t>
        </is>
      </c>
      <c r="E395" t="inlineStr">
        <is>
          <t>NO. 68 PT. C3*</t>
        </is>
      </c>
      <c r="F395" t="inlineStr">
        <is>
          <t>Yes</t>
        </is>
      </c>
      <c r="G395" t="inlineStr">
        <is>
          <t>1</t>
        </is>
      </c>
      <c r="H395" t="inlineStr">
        <is>
          <t>No</t>
        </is>
      </c>
      <c r="I395" t="inlineStr">
        <is>
          <t>No</t>
        </is>
      </c>
      <c r="J395" t="inlineStr">
        <is>
          <t>0</t>
        </is>
      </c>
      <c r="L395" t="inlineStr">
        <is>
          <t>Leipzig-Berlin, Verlag Chemie g.m.b.h., 1924-</t>
        </is>
      </c>
      <c r="M395" t="inlineStr">
        <is>
          <t>1924</t>
        </is>
      </c>
      <c r="N395" t="inlineStr">
        <is>
          <t>8. aufl. Hrsg. von der Deutschen chemischen gesellschaft, bearb. von R.J. Meyer, unter beratender mitwirkung von Franz Peters.</t>
        </is>
      </c>
      <c r="O395" t="inlineStr">
        <is>
          <t>ger</t>
        </is>
      </c>
      <c r="P395" t="inlineStr">
        <is>
          <t xml:space="preserve">xx </t>
        </is>
      </c>
      <c r="R395" t="inlineStr">
        <is>
          <t xml:space="preserve">QD </t>
        </is>
      </c>
      <c r="S395" t="n">
        <v>1</v>
      </c>
      <c r="T395" t="n">
        <v>324</v>
      </c>
      <c r="U395" t="inlineStr">
        <is>
          <t>1998-07-27</t>
        </is>
      </c>
      <c r="V395" t="inlineStr">
        <is>
          <t>1998-07-28</t>
        </is>
      </c>
      <c r="W395" t="inlineStr">
        <is>
          <t>1997-06-09</t>
        </is>
      </c>
      <c r="X395" t="inlineStr">
        <is>
          <t>1998-06-24</t>
        </is>
      </c>
      <c r="Y395" t="n">
        <v>259</v>
      </c>
      <c r="Z395" t="n">
        <v>221</v>
      </c>
      <c r="AA395" t="n">
        <v>223</v>
      </c>
      <c r="AB395" t="n">
        <v>2</v>
      </c>
      <c r="AC395" t="n">
        <v>2</v>
      </c>
      <c r="AD395" t="n">
        <v>10</v>
      </c>
      <c r="AE395" t="n">
        <v>10</v>
      </c>
      <c r="AF395" t="n">
        <v>2</v>
      </c>
      <c r="AG395" t="n">
        <v>2</v>
      </c>
      <c r="AH395" t="n">
        <v>2</v>
      </c>
      <c r="AI395" t="n">
        <v>2</v>
      </c>
      <c r="AJ395" t="n">
        <v>8</v>
      </c>
      <c r="AK395" t="n">
        <v>8</v>
      </c>
      <c r="AL395" t="n">
        <v>1</v>
      </c>
      <c r="AM395" t="n">
        <v>1</v>
      </c>
      <c r="AN395" t="n">
        <v>0</v>
      </c>
      <c r="AO395" t="n">
        <v>0</v>
      </c>
      <c r="AP395" t="inlineStr">
        <is>
          <t>No</t>
        </is>
      </c>
      <c r="AQ395" t="inlineStr">
        <is>
          <t>Yes</t>
        </is>
      </c>
      <c r="AR395">
        <f>HYPERLINK("http://catalog.hathitrust.org/Record/009932175","HathiTrust Record")</f>
        <v/>
      </c>
      <c r="AS395">
        <f>HYPERLINK("https://creighton-primo.hosted.exlibrisgroup.com/primo-explore/search?tab=default_tab&amp;search_scope=EVERYTHING&amp;vid=01CRU&amp;lang=en_US&amp;offset=0&amp;query=any,contains,991005356889702656","Catalog Record")</f>
        <v/>
      </c>
      <c r="AT395">
        <f>HYPERLINK("http://www.worldcat.org/oclc/802031","WorldCat Record")</f>
        <v/>
      </c>
      <c r="AU395" t="inlineStr">
        <is>
          <t>4924721893:ger</t>
        </is>
      </c>
      <c r="AV395" t="inlineStr">
        <is>
          <t>802031</t>
        </is>
      </c>
      <c r="AW395" t="inlineStr">
        <is>
          <t>991005356889702656</t>
        </is>
      </c>
      <c r="AX395" t="inlineStr">
        <is>
          <t>991005356889702656</t>
        </is>
      </c>
      <c r="AY395" t="inlineStr">
        <is>
          <t>2270552310002656</t>
        </is>
      </c>
      <c r="AZ395" t="inlineStr">
        <is>
          <t>BOOK</t>
        </is>
      </c>
      <c r="BC395" t="inlineStr">
        <is>
          <t>32285002792280</t>
        </is>
      </c>
      <c r="BD395" t="inlineStr">
        <is>
          <t>893527430</t>
        </is>
      </c>
    </row>
    <row r="396">
      <c r="A396" t="inlineStr">
        <is>
          <t>No</t>
        </is>
      </c>
      <c r="B396" t="inlineStr">
        <is>
          <t>QD151 .G52 NO. 68 PT. D</t>
        </is>
      </c>
      <c r="C396" t="inlineStr">
        <is>
          <t>0                      QD 0151000G  52                                                      NO. 68 PT. D</t>
        </is>
      </c>
      <c r="D396" t="inlineStr">
        <is>
          <t>Gmelins Handbuch der anorganischen chemie.</t>
        </is>
      </c>
      <c r="E396" t="inlineStr">
        <is>
          <t>NO. 68 PT. D*</t>
        </is>
      </c>
      <c r="F396" t="inlineStr">
        <is>
          <t>Yes</t>
        </is>
      </c>
      <c r="G396" t="inlineStr">
        <is>
          <t>1</t>
        </is>
      </c>
      <c r="H396" t="inlineStr">
        <is>
          <t>No</t>
        </is>
      </c>
      <c r="I396" t="inlineStr">
        <is>
          <t>No</t>
        </is>
      </c>
      <c r="J396" t="inlineStr">
        <is>
          <t>0</t>
        </is>
      </c>
      <c r="L396" t="inlineStr">
        <is>
          <t>Leipzig-Berlin, Verlag Chemie g.m.b.h., 1924-</t>
        </is>
      </c>
      <c r="M396" t="inlineStr">
        <is>
          <t>1924</t>
        </is>
      </c>
      <c r="N396" t="inlineStr">
        <is>
          <t>8. aufl. Hrsg. von der Deutschen chemischen gesellschaft, bearb. von R.J. Meyer, unter beratender mitwirkung von Franz Peters.</t>
        </is>
      </c>
      <c r="O396" t="inlineStr">
        <is>
          <t>ger</t>
        </is>
      </c>
      <c r="P396" t="inlineStr">
        <is>
          <t xml:space="preserve">xx </t>
        </is>
      </c>
      <c r="R396" t="inlineStr">
        <is>
          <t xml:space="preserve">QD </t>
        </is>
      </c>
      <c r="S396" t="n">
        <v>1</v>
      </c>
      <c r="T396" t="n">
        <v>324</v>
      </c>
      <c r="U396" t="inlineStr">
        <is>
          <t>1998-07-27</t>
        </is>
      </c>
      <c r="V396" t="inlineStr">
        <is>
          <t>1998-07-28</t>
        </is>
      </c>
      <c r="W396" t="inlineStr">
        <is>
          <t>1997-06-09</t>
        </is>
      </c>
      <c r="X396" t="inlineStr">
        <is>
          <t>1998-06-24</t>
        </is>
      </c>
      <c r="Y396" t="n">
        <v>259</v>
      </c>
      <c r="Z396" t="n">
        <v>221</v>
      </c>
      <c r="AA396" t="n">
        <v>223</v>
      </c>
      <c r="AB396" t="n">
        <v>2</v>
      </c>
      <c r="AC396" t="n">
        <v>2</v>
      </c>
      <c r="AD396" t="n">
        <v>10</v>
      </c>
      <c r="AE396" t="n">
        <v>10</v>
      </c>
      <c r="AF396" t="n">
        <v>2</v>
      </c>
      <c r="AG396" t="n">
        <v>2</v>
      </c>
      <c r="AH396" t="n">
        <v>2</v>
      </c>
      <c r="AI396" t="n">
        <v>2</v>
      </c>
      <c r="AJ396" t="n">
        <v>8</v>
      </c>
      <c r="AK396" t="n">
        <v>8</v>
      </c>
      <c r="AL396" t="n">
        <v>1</v>
      </c>
      <c r="AM396" t="n">
        <v>1</v>
      </c>
      <c r="AN396" t="n">
        <v>0</v>
      </c>
      <c r="AO396" t="n">
        <v>0</v>
      </c>
      <c r="AP396" t="inlineStr">
        <is>
          <t>No</t>
        </is>
      </c>
      <c r="AQ396" t="inlineStr">
        <is>
          <t>Yes</t>
        </is>
      </c>
      <c r="AR396">
        <f>HYPERLINK("http://catalog.hathitrust.org/Record/009932175","HathiTrust Record")</f>
        <v/>
      </c>
      <c r="AS396">
        <f>HYPERLINK("https://creighton-primo.hosted.exlibrisgroup.com/primo-explore/search?tab=default_tab&amp;search_scope=EVERYTHING&amp;vid=01CRU&amp;lang=en_US&amp;offset=0&amp;query=any,contains,991005356889702656","Catalog Record")</f>
        <v/>
      </c>
      <c r="AT396">
        <f>HYPERLINK("http://www.worldcat.org/oclc/802031","WorldCat Record")</f>
        <v/>
      </c>
      <c r="AU396" t="inlineStr">
        <is>
          <t>4924721893:ger</t>
        </is>
      </c>
      <c r="AV396" t="inlineStr">
        <is>
          <t>802031</t>
        </is>
      </c>
      <c r="AW396" t="inlineStr">
        <is>
          <t>991005356889702656</t>
        </is>
      </c>
      <c r="AX396" t="inlineStr">
        <is>
          <t>991005356889702656</t>
        </is>
      </c>
      <c r="AY396" t="inlineStr">
        <is>
          <t>2270552310002656</t>
        </is>
      </c>
      <c r="AZ396" t="inlineStr">
        <is>
          <t>BOOK</t>
        </is>
      </c>
      <c r="BC396" t="inlineStr">
        <is>
          <t>32285002792298</t>
        </is>
      </c>
      <c r="BD396" t="inlineStr">
        <is>
          <t>893508063</t>
        </is>
      </c>
    </row>
    <row r="397">
      <c r="A397" t="inlineStr">
        <is>
          <t>No</t>
        </is>
      </c>
      <c r="B397" t="inlineStr">
        <is>
          <t>QD151 .G52 NO. 69-70</t>
        </is>
      </c>
      <c r="C397" t="inlineStr">
        <is>
          <t>0                      QD 0151000G  52                                                      NO. 69-70</t>
        </is>
      </c>
      <c r="D397" t="inlineStr">
        <is>
          <t>Gmelins Handbuch der anorganischen chemie.</t>
        </is>
      </c>
      <c r="E397" t="inlineStr">
        <is>
          <t>NO. 69-70*</t>
        </is>
      </c>
      <c r="F397" t="inlineStr">
        <is>
          <t>Yes</t>
        </is>
      </c>
      <c r="G397" t="inlineStr">
        <is>
          <t>1</t>
        </is>
      </c>
      <c r="H397" t="inlineStr">
        <is>
          <t>No</t>
        </is>
      </c>
      <c r="I397" t="inlineStr">
        <is>
          <t>No</t>
        </is>
      </c>
      <c r="J397" t="inlineStr">
        <is>
          <t>0</t>
        </is>
      </c>
      <c r="L397" t="inlineStr">
        <is>
          <t>Leipzig-Berlin, Verlag Chemie g.m.b.h., 1924-</t>
        </is>
      </c>
      <c r="M397" t="inlineStr">
        <is>
          <t>1924</t>
        </is>
      </c>
      <c r="N397" t="inlineStr">
        <is>
          <t>8. aufl. Hrsg. von der Deutschen chemischen gesellschaft, bearb. von R.J. Meyer, unter beratender mitwirkung von Franz Peters.</t>
        </is>
      </c>
      <c r="O397" t="inlineStr">
        <is>
          <t>ger</t>
        </is>
      </c>
      <c r="P397" t="inlineStr">
        <is>
          <t xml:space="preserve">xx </t>
        </is>
      </c>
      <c r="R397" t="inlineStr">
        <is>
          <t xml:space="preserve">QD </t>
        </is>
      </c>
      <c r="S397" t="n">
        <v>1</v>
      </c>
      <c r="T397" t="n">
        <v>324</v>
      </c>
      <c r="U397" t="inlineStr">
        <is>
          <t>1998-07-27</t>
        </is>
      </c>
      <c r="V397" t="inlineStr">
        <is>
          <t>1998-07-28</t>
        </is>
      </c>
      <c r="W397" t="inlineStr">
        <is>
          <t>1997-06-09</t>
        </is>
      </c>
      <c r="X397" t="inlineStr">
        <is>
          <t>1998-06-24</t>
        </is>
      </c>
      <c r="Y397" t="n">
        <v>259</v>
      </c>
      <c r="Z397" t="n">
        <v>221</v>
      </c>
      <c r="AA397" t="n">
        <v>223</v>
      </c>
      <c r="AB397" t="n">
        <v>2</v>
      </c>
      <c r="AC397" t="n">
        <v>2</v>
      </c>
      <c r="AD397" t="n">
        <v>10</v>
      </c>
      <c r="AE397" t="n">
        <v>10</v>
      </c>
      <c r="AF397" t="n">
        <v>2</v>
      </c>
      <c r="AG397" t="n">
        <v>2</v>
      </c>
      <c r="AH397" t="n">
        <v>2</v>
      </c>
      <c r="AI397" t="n">
        <v>2</v>
      </c>
      <c r="AJ397" t="n">
        <v>8</v>
      </c>
      <c r="AK397" t="n">
        <v>8</v>
      </c>
      <c r="AL397" t="n">
        <v>1</v>
      </c>
      <c r="AM397" t="n">
        <v>1</v>
      </c>
      <c r="AN397" t="n">
        <v>0</v>
      </c>
      <c r="AO397" t="n">
        <v>0</v>
      </c>
      <c r="AP397" t="inlineStr">
        <is>
          <t>No</t>
        </is>
      </c>
      <c r="AQ397" t="inlineStr">
        <is>
          <t>Yes</t>
        </is>
      </c>
      <c r="AR397">
        <f>HYPERLINK("http://catalog.hathitrust.org/Record/009932175","HathiTrust Record")</f>
        <v/>
      </c>
      <c r="AS397">
        <f>HYPERLINK("https://creighton-primo.hosted.exlibrisgroup.com/primo-explore/search?tab=default_tab&amp;search_scope=EVERYTHING&amp;vid=01CRU&amp;lang=en_US&amp;offset=0&amp;query=any,contains,991005356889702656","Catalog Record")</f>
        <v/>
      </c>
      <c r="AT397">
        <f>HYPERLINK("http://www.worldcat.org/oclc/802031","WorldCat Record")</f>
        <v/>
      </c>
      <c r="AU397" t="inlineStr">
        <is>
          <t>4924721893:ger</t>
        </is>
      </c>
      <c r="AV397" t="inlineStr">
        <is>
          <t>802031</t>
        </is>
      </c>
      <c r="AW397" t="inlineStr">
        <is>
          <t>991005356889702656</t>
        </is>
      </c>
      <c r="AX397" t="inlineStr">
        <is>
          <t>991005356889702656</t>
        </is>
      </c>
      <c r="AY397" t="inlineStr">
        <is>
          <t>2270552310002656</t>
        </is>
      </c>
      <c r="AZ397" t="inlineStr">
        <is>
          <t>BOOK</t>
        </is>
      </c>
      <c r="BC397" t="inlineStr">
        <is>
          <t>32285002792306</t>
        </is>
      </c>
      <c r="BD397" t="inlineStr">
        <is>
          <t>893533610</t>
        </is>
      </c>
    </row>
    <row r="398">
      <c r="A398" t="inlineStr">
        <is>
          <t>No</t>
        </is>
      </c>
      <c r="B398" t="inlineStr">
        <is>
          <t>QD151 .G52 NO. 7</t>
        </is>
      </c>
      <c r="C398" t="inlineStr">
        <is>
          <t>0                      QD 0151000G  52                                                      NO. 7</t>
        </is>
      </c>
      <c r="D398" t="inlineStr">
        <is>
          <t>Gmelins Handbuch der anorganischen chemie.</t>
        </is>
      </c>
      <c r="E398" t="inlineStr">
        <is>
          <t>NO. 7*</t>
        </is>
      </c>
      <c r="F398" t="inlineStr">
        <is>
          <t>Yes</t>
        </is>
      </c>
      <c r="G398" t="inlineStr">
        <is>
          <t>1</t>
        </is>
      </c>
      <c r="H398" t="inlineStr">
        <is>
          <t>No</t>
        </is>
      </c>
      <c r="I398" t="inlineStr">
        <is>
          <t>No</t>
        </is>
      </c>
      <c r="J398" t="inlineStr">
        <is>
          <t>0</t>
        </is>
      </c>
      <c r="L398" t="inlineStr">
        <is>
          <t>Leipzig-Berlin, Verlag Chemie g.m.b.h., 1924-</t>
        </is>
      </c>
      <c r="M398" t="inlineStr">
        <is>
          <t>1924</t>
        </is>
      </c>
      <c r="N398" t="inlineStr">
        <is>
          <t>8. aufl. Hrsg. von der Deutschen chemischen gesellschaft, bearb. von R.J. Meyer, unter beratender mitwirkung von Franz Peters.</t>
        </is>
      </c>
      <c r="O398" t="inlineStr">
        <is>
          <t>ger</t>
        </is>
      </c>
      <c r="P398" t="inlineStr">
        <is>
          <t xml:space="preserve">xx </t>
        </is>
      </c>
      <c r="R398" t="inlineStr">
        <is>
          <t xml:space="preserve">QD </t>
        </is>
      </c>
      <c r="S398" t="n">
        <v>1</v>
      </c>
      <c r="T398" t="n">
        <v>324</v>
      </c>
      <c r="U398" t="inlineStr">
        <is>
          <t>1998-07-27</t>
        </is>
      </c>
      <c r="V398" t="inlineStr">
        <is>
          <t>1998-07-28</t>
        </is>
      </c>
      <c r="W398" t="inlineStr">
        <is>
          <t>1997-06-02</t>
        </is>
      </c>
      <c r="X398" t="inlineStr">
        <is>
          <t>1998-06-24</t>
        </is>
      </c>
      <c r="Y398" t="n">
        <v>259</v>
      </c>
      <c r="Z398" t="n">
        <v>221</v>
      </c>
      <c r="AA398" t="n">
        <v>223</v>
      </c>
      <c r="AB398" t="n">
        <v>2</v>
      </c>
      <c r="AC398" t="n">
        <v>2</v>
      </c>
      <c r="AD398" t="n">
        <v>10</v>
      </c>
      <c r="AE398" t="n">
        <v>10</v>
      </c>
      <c r="AF398" t="n">
        <v>2</v>
      </c>
      <c r="AG398" t="n">
        <v>2</v>
      </c>
      <c r="AH398" t="n">
        <v>2</v>
      </c>
      <c r="AI398" t="n">
        <v>2</v>
      </c>
      <c r="AJ398" t="n">
        <v>8</v>
      </c>
      <c r="AK398" t="n">
        <v>8</v>
      </c>
      <c r="AL398" t="n">
        <v>1</v>
      </c>
      <c r="AM398" t="n">
        <v>1</v>
      </c>
      <c r="AN398" t="n">
        <v>0</v>
      </c>
      <c r="AO398" t="n">
        <v>0</v>
      </c>
      <c r="AP398" t="inlineStr">
        <is>
          <t>No</t>
        </is>
      </c>
      <c r="AQ398" t="inlineStr">
        <is>
          <t>Yes</t>
        </is>
      </c>
      <c r="AR398">
        <f>HYPERLINK("http://catalog.hathitrust.org/Record/009932175","HathiTrust Record")</f>
        <v/>
      </c>
      <c r="AS398">
        <f>HYPERLINK("https://creighton-primo.hosted.exlibrisgroup.com/primo-explore/search?tab=default_tab&amp;search_scope=EVERYTHING&amp;vid=01CRU&amp;lang=en_US&amp;offset=0&amp;query=any,contains,991005356889702656","Catalog Record")</f>
        <v/>
      </c>
      <c r="AT398">
        <f>HYPERLINK("http://www.worldcat.org/oclc/802031","WorldCat Record")</f>
        <v/>
      </c>
      <c r="AU398" t="inlineStr">
        <is>
          <t>4924721893:ger</t>
        </is>
      </c>
      <c r="AV398" t="inlineStr">
        <is>
          <t>802031</t>
        </is>
      </c>
      <c r="AW398" t="inlineStr">
        <is>
          <t>991005356889702656</t>
        </is>
      </c>
      <c r="AX398" t="inlineStr">
        <is>
          <t>991005356889702656</t>
        </is>
      </c>
      <c r="AY398" t="inlineStr">
        <is>
          <t>2270552310002656</t>
        </is>
      </c>
      <c r="AZ398" t="inlineStr">
        <is>
          <t>BOOK</t>
        </is>
      </c>
      <c r="BC398" t="inlineStr">
        <is>
          <t>32285002779329</t>
        </is>
      </c>
      <c r="BD398" t="inlineStr">
        <is>
          <t>893501787</t>
        </is>
      </c>
    </row>
    <row r="399">
      <c r="A399" t="inlineStr">
        <is>
          <t>No</t>
        </is>
      </c>
      <c r="B399" t="inlineStr">
        <is>
          <t>QD151 .G52 NO. 8 SECT. 1</t>
        </is>
      </c>
      <c r="C399" t="inlineStr">
        <is>
          <t>0                      QD 0151000G  52                                                      NO. 8 SECT. 1</t>
        </is>
      </c>
      <c r="D399" t="inlineStr">
        <is>
          <t>Gmelins Handbuch der anorganischen chemie.</t>
        </is>
      </c>
      <c r="E399" t="inlineStr">
        <is>
          <t>NO. 8 SECT. 1*</t>
        </is>
      </c>
      <c r="F399" t="inlineStr">
        <is>
          <t>Yes</t>
        </is>
      </c>
      <c r="G399" t="inlineStr">
        <is>
          <t>1</t>
        </is>
      </c>
      <c r="H399" t="inlineStr">
        <is>
          <t>No</t>
        </is>
      </c>
      <c r="I399" t="inlineStr">
        <is>
          <t>No</t>
        </is>
      </c>
      <c r="J399" t="inlineStr">
        <is>
          <t>0</t>
        </is>
      </c>
      <c r="L399" t="inlineStr">
        <is>
          <t>Leipzig-Berlin, Verlag Chemie g.m.b.h., 1924-</t>
        </is>
      </c>
      <c r="M399" t="inlineStr">
        <is>
          <t>1924</t>
        </is>
      </c>
      <c r="N399" t="inlineStr">
        <is>
          <t>8. aufl. Hrsg. von der Deutschen chemischen gesellschaft, bearb. von R.J. Meyer, unter beratender mitwirkung von Franz Peters.</t>
        </is>
      </c>
      <c r="O399" t="inlineStr">
        <is>
          <t>ger</t>
        </is>
      </c>
      <c r="P399" t="inlineStr">
        <is>
          <t xml:space="preserve">xx </t>
        </is>
      </c>
      <c r="R399" t="inlineStr">
        <is>
          <t xml:space="preserve">QD </t>
        </is>
      </c>
      <c r="S399" t="n">
        <v>1</v>
      </c>
      <c r="T399" t="n">
        <v>324</v>
      </c>
      <c r="U399" t="inlineStr">
        <is>
          <t>1998-07-27</t>
        </is>
      </c>
      <c r="V399" t="inlineStr">
        <is>
          <t>1998-07-28</t>
        </is>
      </c>
      <c r="W399" t="inlineStr">
        <is>
          <t>1997-06-02</t>
        </is>
      </c>
      <c r="X399" t="inlineStr">
        <is>
          <t>1998-06-24</t>
        </is>
      </c>
      <c r="Y399" t="n">
        <v>259</v>
      </c>
      <c r="Z399" t="n">
        <v>221</v>
      </c>
      <c r="AA399" t="n">
        <v>223</v>
      </c>
      <c r="AB399" t="n">
        <v>2</v>
      </c>
      <c r="AC399" t="n">
        <v>2</v>
      </c>
      <c r="AD399" t="n">
        <v>10</v>
      </c>
      <c r="AE399" t="n">
        <v>10</v>
      </c>
      <c r="AF399" t="n">
        <v>2</v>
      </c>
      <c r="AG399" t="n">
        <v>2</v>
      </c>
      <c r="AH399" t="n">
        <v>2</v>
      </c>
      <c r="AI399" t="n">
        <v>2</v>
      </c>
      <c r="AJ399" t="n">
        <v>8</v>
      </c>
      <c r="AK399" t="n">
        <v>8</v>
      </c>
      <c r="AL399" t="n">
        <v>1</v>
      </c>
      <c r="AM399" t="n">
        <v>1</v>
      </c>
      <c r="AN399" t="n">
        <v>0</v>
      </c>
      <c r="AO399" t="n">
        <v>0</v>
      </c>
      <c r="AP399" t="inlineStr">
        <is>
          <t>No</t>
        </is>
      </c>
      <c r="AQ399" t="inlineStr">
        <is>
          <t>Yes</t>
        </is>
      </c>
      <c r="AR399">
        <f>HYPERLINK("http://catalog.hathitrust.org/Record/009932175","HathiTrust Record")</f>
        <v/>
      </c>
      <c r="AS399">
        <f>HYPERLINK("https://creighton-primo.hosted.exlibrisgroup.com/primo-explore/search?tab=default_tab&amp;search_scope=EVERYTHING&amp;vid=01CRU&amp;lang=en_US&amp;offset=0&amp;query=any,contains,991005356889702656","Catalog Record")</f>
        <v/>
      </c>
      <c r="AT399">
        <f>HYPERLINK("http://www.worldcat.org/oclc/802031","WorldCat Record")</f>
        <v/>
      </c>
      <c r="AU399" t="inlineStr">
        <is>
          <t>4924721893:ger</t>
        </is>
      </c>
      <c r="AV399" t="inlineStr">
        <is>
          <t>802031</t>
        </is>
      </c>
      <c r="AW399" t="inlineStr">
        <is>
          <t>991005356889702656</t>
        </is>
      </c>
      <c r="AX399" t="inlineStr">
        <is>
          <t>991005356889702656</t>
        </is>
      </c>
      <c r="AY399" t="inlineStr">
        <is>
          <t>2270552310002656</t>
        </is>
      </c>
      <c r="AZ399" t="inlineStr">
        <is>
          <t>BOOK</t>
        </is>
      </c>
      <c r="BC399" t="inlineStr">
        <is>
          <t>32285002779337</t>
        </is>
      </c>
      <c r="BD399" t="inlineStr">
        <is>
          <t>893501786</t>
        </is>
      </c>
    </row>
    <row r="400">
      <c r="A400" t="inlineStr">
        <is>
          <t>No</t>
        </is>
      </c>
      <c r="B400" t="inlineStr">
        <is>
          <t>QD151 .G52 NO. 8 SECT. 2</t>
        </is>
      </c>
      <c r="C400" t="inlineStr">
        <is>
          <t>0                      QD 0151000G  52                                                      NO. 8 SECT. 2</t>
        </is>
      </c>
      <c r="D400" t="inlineStr">
        <is>
          <t>Gmelins Handbuch der anorganischen chemie.</t>
        </is>
      </c>
      <c r="E400" t="inlineStr">
        <is>
          <t>NO. 8 SECT. 2*</t>
        </is>
      </c>
      <c r="F400" t="inlineStr">
        <is>
          <t>Yes</t>
        </is>
      </c>
      <c r="G400" t="inlineStr">
        <is>
          <t>1</t>
        </is>
      </c>
      <c r="H400" t="inlineStr">
        <is>
          <t>No</t>
        </is>
      </c>
      <c r="I400" t="inlineStr">
        <is>
          <t>No</t>
        </is>
      </c>
      <c r="J400" t="inlineStr">
        <is>
          <t>0</t>
        </is>
      </c>
      <c r="L400" t="inlineStr">
        <is>
          <t>Leipzig-Berlin, Verlag Chemie g.m.b.h., 1924-</t>
        </is>
      </c>
      <c r="M400" t="inlineStr">
        <is>
          <t>1924</t>
        </is>
      </c>
      <c r="N400" t="inlineStr">
        <is>
          <t>8. aufl. Hrsg. von der Deutschen chemischen gesellschaft, bearb. von R.J. Meyer, unter beratender mitwirkung von Franz Peters.</t>
        </is>
      </c>
      <c r="O400" t="inlineStr">
        <is>
          <t>ger</t>
        </is>
      </c>
      <c r="P400" t="inlineStr">
        <is>
          <t xml:space="preserve">xx </t>
        </is>
      </c>
      <c r="R400" t="inlineStr">
        <is>
          <t xml:space="preserve">QD </t>
        </is>
      </c>
      <c r="S400" t="n">
        <v>1</v>
      </c>
      <c r="T400" t="n">
        <v>324</v>
      </c>
      <c r="U400" t="inlineStr">
        <is>
          <t>1998-07-27</t>
        </is>
      </c>
      <c r="V400" t="inlineStr">
        <is>
          <t>1998-07-28</t>
        </is>
      </c>
      <c r="W400" t="inlineStr">
        <is>
          <t>1997-06-02</t>
        </is>
      </c>
      <c r="X400" t="inlineStr">
        <is>
          <t>1998-06-24</t>
        </is>
      </c>
      <c r="Y400" t="n">
        <v>259</v>
      </c>
      <c r="Z400" t="n">
        <v>221</v>
      </c>
      <c r="AA400" t="n">
        <v>223</v>
      </c>
      <c r="AB400" t="n">
        <v>2</v>
      </c>
      <c r="AC400" t="n">
        <v>2</v>
      </c>
      <c r="AD400" t="n">
        <v>10</v>
      </c>
      <c r="AE400" t="n">
        <v>10</v>
      </c>
      <c r="AF400" t="n">
        <v>2</v>
      </c>
      <c r="AG400" t="n">
        <v>2</v>
      </c>
      <c r="AH400" t="n">
        <v>2</v>
      </c>
      <c r="AI400" t="n">
        <v>2</v>
      </c>
      <c r="AJ400" t="n">
        <v>8</v>
      </c>
      <c r="AK400" t="n">
        <v>8</v>
      </c>
      <c r="AL400" t="n">
        <v>1</v>
      </c>
      <c r="AM400" t="n">
        <v>1</v>
      </c>
      <c r="AN400" t="n">
        <v>0</v>
      </c>
      <c r="AO400" t="n">
        <v>0</v>
      </c>
      <c r="AP400" t="inlineStr">
        <is>
          <t>No</t>
        </is>
      </c>
      <c r="AQ400" t="inlineStr">
        <is>
          <t>Yes</t>
        </is>
      </c>
      <c r="AR400">
        <f>HYPERLINK("http://catalog.hathitrust.org/Record/009932175","HathiTrust Record")</f>
        <v/>
      </c>
      <c r="AS400">
        <f>HYPERLINK("https://creighton-primo.hosted.exlibrisgroup.com/primo-explore/search?tab=default_tab&amp;search_scope=EVERYTHING&amp;vid=01CRU&amp;lang=en_US&amp;offset=0&amp;query=any,contains,991005356889702656","Catalog Record")</f>
        <v/>
      </c>
      <c r="AT400">
        <f>HYPERLINK("http://www.worldcat.org/oclc/802031","WorldCat Record")</f>
        <v/>
      </c>
      <c r="AU400" t="inlineStr">
        <is>
          <t>4924721893:ger</t>
        </is>
      </c>
      <c r="AV400" t="inlineStr">
        <is>
          <t>802031</t>
        </is>
      </c>
      <c r="AW400" t="inlineStr">
        <is>
          <t>991005356889702656</t>
        </is>
      </c>
      <c r="AX400" t="inlineStr">
        <is>
          <t>991005356889702656</t>
        </is>
      </c>
      <c r="AY400" t="inlineStr">
        <is>
          <t>2270552310002656</t>
        </is>
      </c>
      <c r="AZ400" t="inlineStr">
        <is>
          <t>BOOK</t>
        </is>
      </c>
      <c r="BC400" t="inlineStr">
        <is>
          <t>32285002779345</t>
        </is>
      </c>
      <c r="BD400" t="inlineStr">
        <is>
          <t>893527429</t>
        </is>
      </c>
    </row>
    <row r="401">
      <c r="A401" t="inlineStr">
        <is>
          <t>No</t>
        </is>
      </c>
      <c r="B401" t="inlineStr">
        <is>
          <t>QD151 .G52 NO. 9 PT. 1</t>
        </is>
      </c>
      <c r="C401" t="inlineStr">
        <is>
          <t>0                      QD 0151000G  52                                                      NO. 9 PT. 1</t>
        </is>
      </c>
      <c r="D401" t="inlineStr">
        <is>
          <t>Gmelins Handbuch der anorganischen chemie.</t>
        </is>
      </c>
      <c r="E401" t="inlineStr">
        <is>
          <t>NO. 9 PT. 1*</t>
        </is>
      </c>
      <c r="F401" t="inlineStr">
        <is>
          <t>Yes</t>
        </is>
      </c>
      <c r="G401" t="inlineStr">
        <is>
          <t>1</t>
        </is>
      </c>
      <c r="H401" t="inlineStr">
        <is>
          <t>No</t>
        </is>
      </c>
      <c r="I401" t="inlineStr">
        <is>
          <t>No</t>
        </is>
      </c>
      <c r="J401" t="inlineStr">
        <is>
          <t>0</t>
        </is>
      </c>
      <c r="L401" t="inlineStr">
        <is>
          <t>Leipzig-Berlin, Verlag Chemie g.m.b.h., 1924-</t>
        </is>
      </c>
      <c r="M401" t="inlineStr">
        <is>
          <t>1924</t>
        </is>
      </c>
      <c r="N401" t="inlineStr">
        <is>
          <t>8. aufl. Hrsg. von der Deutschen chemischen gesellschaft, bearb. von R.J. Meyer, unter beratender mitwirkung von Franz Peters.</t>
        </is>
      </c>
      <c r="O401" t="inlineStr">
        <is>
          <t>ger</t>
        </is>
      </c>
      <c r="P401" t="inlineStr">
        <is>
          <t xml:space="preserve">xx </t>
        </is>
      </c>
      <c r="R401" t="inlineStr">
        <is>
          <t xml:space="preserve">QD </t>
        </is>
      </c>
      <c r="S401" t="n">
        <v>1</v>
      </c>
      <c r="T401" t="n">
        <v>324</v>
      </c>
      <c r="U401" t="inlineStr">
        <is>
          <t>1998-07-27</t>
        </is>
      </c>
      <c r="V401" t="inlineStr">
        <is>
          <t>1998-07-28</t>
        </is>
      </c>
      <c r="W401" t="inlineStr">
        <is>
          <t>1997-06-02</t>
        </is>
      </c>
      <c r="X401" t="inlineStr">
        <is>
          <t>1998-06-24</t>
        </is>
      </c>
      <c r="Y401" t="n">
        <v>259</v>
      </c>
      <c r="Z401" t="n">
        <v>221</v>
      </c>
      <c r="AA401" t="n">
        <v>223</v>
      </c>
      <c r="AB401" t="n">
        <v>2</v>
      </c>
      <c r="AC401" t="n">
        <v>2</v>
      </c>
      <c r="AD401" t="n">
        <v>10</v>
      </c>
      <c r="AE401" t="n">
        <v>10</v>
      </c>
      <c r="AF401" t="n">
        <v>2</v>
      </c>
      <c r="AG401" t="n">
        <v>2</v>
      </c>
      <c r="AH401" t="n">
        <v>2</v>
      </c>
      <c r="AI401" t="n">
        <v>2</v>
      </c>
      <c r="AJ401" t="n">
        <v>8</v>
      </c>
      <c r="AK401" t="n">
        <v>8</v>
      </c>
      <c r="AL401" t="n">
        <v>1</v>
      </c>
      <c r="AM401" t="n">
        <v>1</v>
      </c>
      <c r="AN401" t="n">
        <v>0</v>
      </c>
      <c r="AO401" t="n">
        <v>0</v>
      </c>
      <c r="AP401" t="inlineStr">
        <is>
          <t>No</t>
        </is>
      </c>
      <c r="AQ401" t="inlineStr">
        <is>
          <t>Yes</t>
        </is>
      </c>
      <c r="AR401">
        <f>HYPERLINK("http://catalog.hathitrust.org/Record/009932175","HathiTrust Record")</f>
        <v/>
      </c>
      <c r="AS401">
        <f>HYPERLINK("https://creighton-primo.hosted.exlibrisgroup.com/primo-explore/search?tab=default_tab&amp;search_scope=EVERYTHING&amp;vid=01CRU&amp;lang=en_US&amp;offset=0&amp;query=any,contains,991005356889702656","Catalog Record")</f>
        <v/>
      </c>
      <c r="AT401">
        <f>HYPERLINK("http://www.worldcat.org/oclc/802031","WorldCat Record")</f>
        <v/>
      </c>
      <c r="AU401" t="inlineStr">
        <is>
          <t>4924721893:ger</t>
        </is>
      </c>
      <c r="AV401" t="inlineStr">
        <is>
          <t>802031</t>
        </is>
      </c>
      <c r="AW401" t="inlineStr">
        <is>
          <t>991005356889702656</t>
        </is>
      </c>
      <c r="AX401" t="inlineStr">
        <is>
          <t>991005356889702656</t>
        </is>
      </c>
      <c r="AY401" t="inlineStr">
        <is>
          <t>2270552310002656</t>
        </is>
      </c>
      <c r="AZ401" t="inlineStr">
        <is>
          <t>BOOK</t>
        </is>
      </c>
      <c r="BC401" t="inlineStr">
        <is>
          <t>32285002779352</t>
        </is>
      </c>
      <c r="BD401" t="inlineStr">
        <is>
          <t>893501785</t>
        </is>
      </c>
    </row>
    <row r="402">
      <c r="A402" t="inlineStr">
        <is>
          <t>No</t>
        </is>
      </c>
      <c r="B402" t="inlineStr">
        <is>
          <t>QD151 .G52 NO. 9 PT. A SECT. 1</t>
        </is>
      </c>
      <c r="C402" t="inlineStr">
        <is>
          <t>0                      QD 0151000G  52                                                      NO. 9 PT. A SECT. 1</t>
        </is>
      </c>
      <c r="D402" t="inlineStr">
        <is>
          <t>Gmelins Handbuch der anorganischen chemie.</t>
        </is>
      </c>
      <c r="E402" t="inlineStr">
        <is>
          <t>NO. 9 PT. A SECT. 1*</t>
        </is>
      </c>
      <c r="F402" t="inlineStr">
        <is>
          <t>Yes</t>
        </is>
      </c>
      <c r="G402" t="inlineStr">
        <is>
          <t>1</t>
        </is>
      </c>
      <c r="H402" t="inlineStr">
        <is>
          <t>No</t>
        </is>
      </c>
      <c r="I402" t="inlineStr">
        <is>
          <t>No</t>
        </is>
      </c>
      <c r="J402" t="inlineStr">
        <is>
          <t>0</t>
        </is>
      </c>
      <c r="L402" t="inlineStr">
        <is>
          <t>Leipzig-Berlin, Verlag Chemie g.m.b.h., 1924-</t>
        </is>
      </c>
      <c r="M402" t="inlineStr">
        <is>
          <t>1924</t>
        </is>
      </c>
      <c r="N402" t="inlineStr">
        <is>
          <t>8. aufl. Hrsg. von der Deutschen chemischen gesellschaft, bearb. von R.J. Meyer, unter beratender mitwirkung von Franz Peters.</t>
        </is>
      </c>
      <c r="O402" t="inlineStr">
        <is>
          <t>ger</t>
        </is>
      </c>
      <c r="P402" t="inlineStr">
        <is>
          <t xml:space="preserve">xx </t>
        </is>
      </c>
      <c r="R402" t="inlineStr">
        <is>
          <t xml:space="preserve">QD </t>
        </is>
      </c>
      <c r="S402" t="n">
        <v>1</v>
      </c>
      <c r="T402" t="n">
        <v>324</v>
      </c>
      <c r="U402" t="inlineStr">
        <is>
          <t>1998-07-27</t>
        </is>
      </c>
      <c r="V402" t="inlineStr">
        <is>
          <t>1998-07-28</t>
        </is>
      </c>
      <c r="W402" t="inlineStr">
        <is>
          <t>1997-06-02</t>
        </is>
      </c>
      <c r="X402" t="inlineStr">
        <is>
          <t>1998-06-24</t>
        </is>
      </c>
      <c r="Y402" t="n">
        <v>259</v>
      </c>
      <c r="Z402" t="n">
        <v>221</v>
      </c>
      <c r="AA402" t="n">
        <v>223</v>
      </c>
      <c r="AB402" t="n">
        <v>2</v>
      </c>
      <c r="AC402" t="n">
        <v>2</v>
      </c>
      <c r="AD402" t="n">
        <v>10</v>
      </c>
      <c r="AE402" t="n">
        <v>10</v>
      </c>
      <c r="AF402" t="n">
        <v>2</v>
      </c>
      <c r="AG402" t="n">
        <v>2</v>
      </c>
      <c r="AH402" t="n">
        <v>2</v>
      </c>
      <c r="AI402" t="n">
        <v>2</v>
      </c>
      <c r="AJ402" t="n">
        <v>8</v>
      </c>
      <c r="AK402" t="n">
        <v>8</v>
      </c>
      <c r="AL402" t="n">
        <v>1</v>
      </c>
      <c r="AM402" t="n">
        <v>1</v>
      </c>
      <c r="AN402" t="n">
        <v>0</v>
      </c>
      <c r="AO402" t="n">
        <v>0</v>
      </c>
      <c r="AP402" t="inlineStr">
        <is>
          <t>No</t>
        </is>
      </c>
      <c r="AQ402" t="inlineStr">
        <is>
          <t>Yes</t>
        </is>
      </c>
      <c r="AR402">
        <f>HYPERLINK("http://catalog.hathitrust.org/Record/009932175","HathiTrust Record")</f>
        <v/>
      </c>
      <c r="AS402">
        <f>HYPERLINK("https://creighton-primo.hosted.exlibrisgroup.com/primo-explore/search?tab=default_tab&amp;search_scope=EVERYTHING&amp;vid=01CRU&amp;lang=en_US&amp;offset=0&amp;query=any,contains,991005356889702656","Catalog Record")</f>
        <v/>
      </c>
      <c r="AT402">
        <f>HYPERLINK("http://www.worldcat.org/oclc/802031","WorldCat Record")</f>
        <v/>
      </c>
      <c r="AU402" t="inlineStr">
        <is>
          <t>4924721893:ger</t>
        </is>
      </c>
      <c r="AV402" t="inlineStr">
        <is>
          <t>802031</t>
        </is>
      </c>
      <c r="AW402" t="inlineStr">
        <is>
          <t>991005356889702656</t>
        </is>
      </c>
      <c r="AX402" t="inlineStr">
        <is>
          <t>991005356889702656</t>
        </is>
      </c>
      <c r="AY402" t="inlineStr">
        <is>
          <t>2270552310002656</t>
        </is>
      </c>
      <c r="AZ402" t="inlineStr">
        <is>
          <t>BOOK</t>
        </is>
      </c>
      <c r="BC402" t="inlineStr">
        <is>
          <t>32285002779360</t>
        </is>
      </c>
      <c r="BD402" t="inlineStr">
        <is>
          <t>893514506</t>
        </is>
      </c>
    </row>
    <row r="403">
      <c r="A403" t="inlineStr">
        <is>
          <t>No</t>
        </is>
      </c>
      <c r="B403" t="inlineStr">
        <is>
          <t>QD151 .G52 NO. 9 PT. A SECT. 2</t>
        </is>
      </c>
      <c r="C403" t="inlineStr">
        <is>
          <t>0                      QD 0151000G  52                                                      NO. 9 PT. A SECT. 2</t>
        </is>
      </c>
      <c r="D403" t="inlineStr">
        <is>
          <t>Gmelins Handbuch der anorganischen chemie.</t>
        </is>
      </c>
      <c r="E403" t="inlineStr">
        <is>
          <t>NO. 9 PT. A SECT. 2*</t>
        </is>
      </c>
      <c r="F403" t="inlineStr">
        <is>
          <t>Yes</t>
        </is>
      </c>
      <c r="G403" t="inlineStr">
        <is>
          <t>1</t>
        </is>
      </c>
      <c r="H403" t="inlineStr">
        <is>
          <t>No</t>
        </is>
      </c>
      <c r="I403" t="inlineStr">
        <is>
          <t>No</t>
        </is>
      </c>
      <c r="J403" t="inlineStr">
        <is>
          <t>0</t>
        </is>
      </c>
      <c r="L403" t="inlineStr">
        <is>
          <t>Leipzig-Berlin, Verlag Chemie g.m.b.h., 1924-</t>
        </is>
      </c>
      <c r="M403" t="inlineStr">
        <is>
          <t>1924</t>
        </is>
      </c>
      <c r="N403" t="inlineStr">
        <is>
          <t>8. aufl. Hrsg. von der Deutschen chemischen gesellschaft, bearb. von R.J. Meyer, unter beratender mitwirkung von Franz Peters.</t>
        </is>
      </c>
      <c r="O403" t="inlineStr">
        <is>
          <t>ger</t>
        </is>
      </c>
      <c r="P403" t="inlineStr">
        <is>
          <t xml:space="preserve">xx </t>
        </is>
      </c>
      <c r="R403" t="inlineStr">
        <is>
          <t xml:space="preserve">QD </t>
        </is>
      </c>
      <c r="S403" t="n">
        <v>1</v>
      </c>
      <c r="T403" t="n">
        <v>324</v>
      </c>
      <c r="U403" t="inlineStr">
        <is>
          <t>1998-07-27</t>
        </is>
      </c>
      <c r="V403" t="inlineStr">
        <is>
          <t>1998-07-28</t>
        </is>
      </c>
      <c r="W403" t="inlineStr">
        <is>
          <t>1997-06-02</t>
        </is>
      </c>
      <c r="X403" t="inlineStr">
        <is>
          <t>1998-06-24</t>
        </is>
      </c>
      <c r="Y403" t="n">
        <v>259</v>
      </c>
      <c r="Z403" t="n">
        <v>221</v>
      </c>
      <c r="AA403" t="n">
        <v>223</v>
      </c>
      <c r="AB403" t="n">
        <v>2</v>
      </c>
      <c r="AC403" t="n">
        <v>2</v>
      </c>
      <c r="AD403" t="n">
        <v>10</v>
      </c>
      <c r="AE403" t="n">
        <v>10</v>
      </c>
      <c r="AF403" t="n">
        <v>2</v>
      </c>
      <c r="AG403" t="n">
        <v>2</v>
      </c>
      <c r="AH403" t="n">
        <v>2</v>
      </c>
      <c r="AI403" t="n">
        <v>2</v>
      </c>
      <c r="AJ403" t="n">
        <v>8</v>
      </c>
      <c r="AK403" t="n">
        <v>8</v>
      </c>
      <c r="AL403" t="n">
        <v>1</v>
      </c>
      <c r="AM403" t="n">
        <v>1</v>
      </c>
      <c r="AN403" t="n">
        <v>0</v>
      </c>
      <c r="AO403" t="n">
        <v>0</v>
      </c>
      <c r="AP403" t="inlineStr">
        <is>
          <t>No</t>
        </is>
      </c>
      <c r="AQ403" t="inlineStr">
        <is>
          <t>Yes</t>
        </is>
      </c>
      <c r="AR403">
        <f>HYPERLINK("http://catalog.hathitrust.org/Record/009932175","HathiTrust Record")</f>
        <v/>
      </c>
      <c r="AS403">
        <f>HYPERLINK("https://creighton-primo.hosted.exlibrisgroup.com/primo-explore/search?tab=default_tab&amp;search_scope=EVERYTHING&amp;vid=01CRU&amp;lang=en_US&amp;offset=0&amp;query=any,contains,991005356889702656","Catalog Record")</f>
        <v/>
      </c>
      <c r="AT403">
        <f>HYPERLINK("http://www.worldcat.org/oclc/802031","WorldCat Record")</f>
        <v/>
      </c>
      <c r="AU403" t="inlineStr">
        <is>
          <t>4924721893:ger</t>
        </is>
      </c>
      <c r="AV403" t="inlineStr">
        <is>
          <t>802031</t>
        </is>
      </c>
      <c r="AW403" t="inlineStr">
        <is>
          <t>991005356889702656</t>
        </is>
      </c>
      <c r="AX403" t="inlineStr">
        <is>
          <t>991005356889702656</t>
        </is>
      </c>
      <c r="AY403" t="inlineStr">
        <is>
          <t>2270552310002656</t>
        </is>
      </c>
      <c r="AZ403" t="inlineStr">
        <is>
          <t>BOOK</t>
        </is>
      </c>
      <c r="BC403" t="inlineStr">
        <is>
          <t>32285002779378</t>
        </is>
      </c>
      <c r="BD403" t="inlineStr">
        <is>
          <t>893508062</t>
        </is>
      </c>
    </row>
    <row r="404">
      <c r="A404" t="inlineStr">
        <is>
          <t>No</t>
        </is>
      </c>
      <c r="B404" t="inlineStr">
        <is>
          <t>QD151 .G52 NO. 9 PT. A SECT. 3</t>
        </is>
      </c>
      <c r="C404" t="inlineStr">
        <is>
          <t>0                      QD 0151000G  52                                                      NO. 9 PT. A SECT. 3</t>
        </is>
      </c>
      <c r="D404" t="inlineStr">
        <is>
          <t>Gmelins Handbuch der anorganischen chemie.</t>
        </is>
      </c>
      <c r="E404" t="inlineStr">
        <is>
          <t>NO. 9 PT. A SECT. 3*</t>
        </is>
      </c>
      <c r="F404" t="inlineStr">
        <is>
          <t>Yes</t>
        </is>
      </c>
      <c r="G404" t="inlineStr">
        <is>
          <t>1</t>
        </is>
      </c>
      <c r="H404" t="inlineStr">
        <is>
          <t>No</t>
        </is>
      </c>
      <c r="I404" t="inlineStr">
        <is>
          <t>No</t>
        </is>
      </c>
      <c r="J404" t="inlineStr">
        <is>
          <t>0</t>
        </is>
      </c>
      <c r="L404" t="inlineStr">
        <is>
          <t>Leipzig-Berlin, Verlag Chemie g.m.b.h., 1924-</t>
        </is>
      </c>
      <c r="M404" t="inlineStr">
        <is>
          <t>1924</t>
        </is>
      </c>
      <c r="N404" t="inlineStr">
        <is>
          <t>8. aufl. Hrsg. von der Deutschen chemischen gesellschaft, bearb. von R.J. Meyer, unter beratender mitwirkung von Franz Peters.</t>
        </is>
      </c>
      <c r="O404" t="inlineStr">
        <is>
          <t>ger</t>
        </is>
      </c>
      <c r="P404" t="inlineStr">
        <is>
          <t xml:space="preserve">xx </t>
        </is>
      </c>
      <c r="R404" t="inlineStr">
        <is>
          <t xml:space="preserve">QD </t>
        </is>
      </c>
      <c r="S404" t="n">
        <v>1</v>
      </c>
      <c r="T404" t="n">
        <v>324</v>
      </c>
      <c r="U404" t="inlineStr">
        <is>
          <t>1998-07-27</t>
        </is>
      </c>
      <c r="V404" t="inlineStr">
        <is>
          <t>1998-07-28</t>
        </is>
      </c>
      <c r="W404" t="inlineStr">
        <is>
          <t>1997-06-02</t>
        </is>
      </c>
      <c r="X404" t="inlineStr">
        <is>
          <t>1998-06-24</t>
        </is>
      </c>
      <c r="Y404" t="n">
        <v>259</v>
      </c>
      <c r="Z404" t="n">
        <v>221</v>
      </c>
      <c r="AA404" t="n">
        <v>223</v>
      </c>
      <c r="AB404" t="n">
        <v>2</v>
      </c>
      <c r="AC404" t="n">
        <v>2</v>
      </c>
      <c r="AD404" t="n">
        <v>10</v>
      </c>
      <c r="AE404" t="n">
        <v>10</v>
      </c>
      <c r="AF404" t="n">
        <v>2</v>
      </c>
      <c r="AG404" t="n">
        <v>2</v>
      </c>
      <c r="AH404" t="n">
        <v>2</v>
      </c>
      <c r="AI404" t="n">
        <v>2</v>
      </c>
      <c r="AJ404" t="n">
        <v>8</v>
      </c>
      <c r="AK404" t="n">
        <v>8</v>
      </c>
      <c r="AL404" t="n">
        <v>1</v>
      </c>
      <c r="AM404" t="n">
        <v>1</v>
      </c>
      <c r="AN404" t="n">
        <v>0</v>
      </c>
      <c r="AO404" t="n">
        <v>0</v>
      </c>
      <c r="AP404" t="inlineStr">
        <is>
          <t>No</t>
        </is>
      </c>
      <c r="AQ404" t="inlineStr">
        <is>
          <t>Yes</t>
        </is>
      </c>
      <c r="AR404">
        <f>HYPERLINK("http://catalog.hathitrust.org/Record/009932175","HathiTrust Record")</f>
        <v/>
      </c>
      <c r="AS404">
        <f>HYPERLINK("https://creighton-primo.hosted.exlibrisgroup.com/primo-explore/search?tab=default_tab&amp;search_scope=EVERYTHING&amp;vid=01CRU&amp;lang=en_US&amp;offset=0&amp;query=any,contains,991005356889702656","Catalog Record")</f>
        <v/>
      </c>
      <c r="AT404">
        <f>HYPERLINK("http://www.worldcat.org/oclc/802031","WorldCat Record")</f>
        <v/>
      </c>
      <c r="AU404" t="inlineStr">
        <is>
          <t>4924721893:ger</t>
        </is>
      </c>
      <c r="AV404" t="inlineStr">
        <is>
          <t>802031</t>
        </is>
      </c>
      <c r="AW404" t="inlineStr">
        <is>
          <t>991005356889702656</t>
        </is>
      </c>
      <c r="AX404" t="inlineStr">
        <is>
          <t>991005356889702656</t>
        </is>
      </c>
      <c r="AY404" t="inlineStr">
        <is>
          <t>2270552310002656</t>
        </is>
      </c>
      <c r="AZ404" t="inlineStr">
        <is>
          <t>BOOK</t>
        </is>
      </c>
      <c r="BC404" t="inlineStr">
        <is>
          <t>32285002779386</t>
        </is>
      </c>
      <c r="BD404" t="inlineStr">
        <is>
          <t>893501784</t>
        </is>
      </c>
    </row>
    <row r="405">
      <c r="A405" t="inlineStr">
        <is>
          <t>No</t>
        </is>
      </c>
      <c r="B405" t="inlineStr">
        <is>
          <t>QD151 .G52 NO. 9 PT. B SECT. 1</t>
        </is>
      </c>
      <c r="C405" t="inlineStr">
        <is>
          <t>0                      QD 0151000G  52                                                      NO. 9 PT. B SECT. 1</t>
        </is>
      </c>
      <c r="D405" t="inlineStr">
        <is>
          <t>Gmelins Handbuch der anorganischen chemie.</t>
        </is>
      </c>
      <c r="E405" t="inlineStr">
        <is>
          <t>NO. 9 PT. B SECT. 1*</t>
        </is>
      </c>
      <c r="F405" t="inlineStr">
        <is>
          <t>Yes</t>
        </is>
      </c>
      <c r="G405" t="inlineStr">
        <is>
          <t>1</t>
        </is>
      </c>
      <c r="H405" t="inlineStr">
        <is>
          <t>No</t>
        </is>
      </c>
      <c r="I405" t="inlineStr">
        <is>
          <t>No</t>
        </is>
      </c>
      <c r="J405" t="inlineStr">
        <is>
          <t>0</t>
        </is>
      </c>
      <c r="L405" t="inlineStr">
        <is>
          <t>Leipzig-Berlin, Verlag Chemie g.m.b.h., 1924-</t>
        </is>
      </c>
      <c r="M405" t="inlineStr">
        <is>
          <t>1924</t>
        </is>
      </c>
      <c r="N405" t="inlineStr">
        <is>
          <t>8. aufl. Hrsg. von der Deutschen chemischen gesellschaft, bearb. von R.J. Meyer, unter beratender mitwirkung von Franz Peters.</t>
        </is>
      </c>
      <c r="O405" t="inlineStr">
        <is>
          <t>ger</t>
        </is>
      </c>
      <c r="P405" t="inlineStr">
        <is>
          <t xml:space="preserve">xx </t>
        </is>
      </c>
      <c r="R405" t="inlineStr">
        <is>
          <t xml:space="preserve">QD </t>
        </is>
      </c>
      <c r="S405" t="n">
        <v>1</v>
      </c>
      <c r="T405" t="n">
        <v>324</v>
      </c>
      <c r="U405" t="inlineStr">
        <is>
          <t>1998-07-27</t>
        </is>
      </c>
      <c r="V405" t="inlineStr">
        <is>
          <t>1998-07-28</t>
        </is>
      </c>
      <c r="W405" t="inlineStr">
        <is>
          <t>1997-06-02</t>
        </is>
      </c>
      <c r="X405" t="inlineStr">
        <is>
          <t>1998-06-24</t>
        </is>
      </c>
      <c r="Y405" t="n">
        <v>259</v>
      </c>
      <c r="Z405" t="n">
        <v>221</v>
      </c>
      <c r="AA405" t="n">
        <v>223</v>
      </c>
      <c r="AB405" t="n">
        <v>2</v>
      </c>
      <c r="AC405" t="n">
        <v>2</v>
      </c>
      <c r="AD405" t="n">
        <v>10</v>
      </c>
      <c r="AE405" t="n">
        <v>10</v>
      </c>
      <c r="AF405" t="n">
        <v>2</v>
      </c>
      <c r="AG405" t="n">
        <v>2</v>
      </c>
      <c r="AH405" t="n">
        <v>2</v>
      </c>
      <c r="AI405" t="n">
        <v>2</v>
      </c>
      <c r="AJ405" t="n">
        <v>8</v>
      </c>
      <c r="AK405" t="n">
        <v>8</v>
      </c>
      <c r="AL405" t="n">
        <v>1</v>
      </c>
      <c r="AM405" t="n">
        <v>1</v>
      </c>
      <c r="AN405" t="n">
        <v>0</v>
      </c>
      <c r="AO405" t="n">
        <v>0</v>
      </c>
      <c r="AP405" t="inlineStr">
        <is>
          <t>No</t>
        </is>
      </c>
      <c r="AQ405" t="inlineStr">
        <is>
          <t>Yes</t>
        </is>
      </c>
      <c r="AR405">
        <f>HYPERLINK("http://catalog.hathitrust.org/Record/009932175","HathiTrust Record")</f>
        <v/>
      </c>
      <c r="AS405">
        <f>HYPERLINK("https://creighton-primo.hosted.exlibrisgroup.com/primo-explore/search?tab=default_tab&amp;search_scope=EVERYTHING&amp;vid=01CRU&amp;lang=en_US&amp;offset=0&amp;query=any,contains,991005356889702656","Catalog Record")</f>
        <v/>
      </c>
      <c r="AT405">
        <f>HYPERLINK("http://www.worldcat.org/oclc/802031","WorldCat Record")</f>
        <v/>
      </c>
      <c r="AU405" t="inlineStr">
        <is>
          <t>4924721893:ger</t>
        </is>
      </c>
      <c r="AV405" t="inlineStr">
        <is>
          <t>802031</t>
        </is>
      </c>
      <c r="AW405" t="inlineStr">
        <is>
          <t>991005356889702656</t>
        </is>
      </c>
      <c r="AX405" t="inlineStr">
        <is>
          <t>991005356889702656</t>
        </is>
      </c>
      <c r="AY405" t="inlineStr">
        <is>
          <t>2270552310002656</t>
        </is>
      </c>
      <c r="AZ405" t="inlineStr">
        <is>
          <t>BOOK</t>
        </is>
      </c>
      <c r="BC405" t="inlineStr">
        <is>
          <t>32285002779394</t>
        </is>
      </c>
      <c r="BD405" t="inlineStr">
        <is>
          <t>893501783</t>
        </is>
      </c>
    </row>
    <row r="406">
      <c r="A406" t="inlineStr">
        <is>
          <t>No</t>
        </is>
      </c>
      <c r="B406" t="inlineStr">
        <is>
          <t>QD151 .G52 NO. 9 PT. B SECT. 2</t>
        </is>
      </c>
      <c r="C406" t="inlineStr">
        <is>
          <t>0                      QD 0151000G  52                                                      NO. 9 PT. B SECT. 2</t>
        </is>
      </c>
      <c r="D406" t="inlineStr">
        <is>
          <t>Gmelins Handbuch der anorganischen chemie.</t>
        </is>
      </c>
      <c r="E406" t="inlineStr">
        <is>
          <t>NO. 9 PT. B SECT. 2*</t>
        </is>
      </c>
      <c r="F406" t="inlineStr">
        <is>
          <t>Yes</t>
        </is>
      </c>
      <c r="G406" t="inlineStr">
        <is>
          <t>1</t>
        </is>
      </c>
      <c r="H406" t="inlineStr">
        <is>
          <t>No</t>
        </is>
      </c>
      <c r="I406" t="inlineStr">
        <is>
          <t>No</t>
        </is>
      </c>
      <c r="J406" t="inlineStr">
        <is>
          <t>0</t>
        </is>
      </c>
      <c r="L406" t="inlineStr">
        <is>
          <t>Leipzig-Berlin, Verlag Chemie g.m.b.h., 1924-</t>
        </is>
      </c>
      <c r="M406" t="inlineStr">
        <is>
          <t>1924</t>
        </is>
      </c>
      <c r="N406" t="inlineStr">
        <is>
          <t>8. aufl. Hrsg. von der Deutschen chemischen gesellschaft, bearb. von R.J. Meyer, unter beratender mitwirkung von Franz Peters.</t>
        </is>
      </c>
      <c r="O406" t="inlineStr">
        <is>
          <t>ger</t>
        </is>
      </c>
      <c r="P406" t="inlineStr">
        <is>
          <t xml:space="preserve">xx </t>
        </is>
      </c>
      <c r="R406" t="inlineStr">
        <is>
          <t xml:space="preserve">QD </t>
        </is>
      </c>
      <c r="S406" t="n">
        <v>1</v>
      </c>
      <c r="T406" t="n">
        <v>324</v>
      </c>
      <c r="U406" t="inlineStr">
        <is>
          <t>1998-07-27</t>
        </is>
      </c>
      <c r="V406" t="inlineStr">
        <is>
          <t>1998-07-28</t>
        </is>
      </c>
      <c r="W406" t="inlineStr">
        <is>
          <t>1997-06-02</t>
        </is>
      </c>
      <c r="X406" t="inlineStr">
        <is>
          <t>1998-06-24</t>
        </is>
      </c>
      <c r="Y406" t="n">
        <v>259</v>
      </c>
      <c r="Z406" t="n">
        <v>221</v>
      </c>
      <c r="AA406" t="n">
        <v>223</v>
      </c>
      <c r="AB406" t="n">
        <v>2</v>
      </c>
      <c r="AC406" t="n">
        <v>2</v>
      </c>
      <c r="AD406" t="n">
        <v>10</v>
      </c>
      <c r="AE406" t="n">
        <v>10</v>
      </c>
      <c r="AF406" t="n">
        <v>2</v>
      </c>
      <c r="AG406" t="n">
        <v>2</v>
      </c>
      <c r="AH406" t="n">
        <v>2</v>
      </c>
      <c r="AI406" t="n">
        <v>2</v>
      </c>
      <c r="AJ406" t="n">
        <v>8</v>
      </c>
      <c r="AK406" t="n">
        <v>8</v>
      </c>
      <c r="AL406" t="n">
        <v>1</v>
      </c>
      <c r="AM406" t="n">
        <v>1</v>
      </c>
      <c r="AN406" t="n">
        <v>0</v>
      </c>
      <c r="AO406" t="n">
        <v>0</v>
      </c>
      <c r="AP406" t="inlineStr">
        <is>
          <t>No</t>
        </is>
      </c>
      <c r="AQ406" t="inlineStr">
        <is>
          <t>Yes</t>
        </is>
      </c>
      <c r="AR406">
        <f>HYPERLINK("http://catalog.hathitrust.org/Record/009932175","HathiTrust Record")</f>
        <v/>
      </c>
      <c r="AS406">
        <f>HYPERLINK("https://creighton-primo.hosted.exlibrisgroup.com/primo-explore/search?tab=default_tab&amp;search_scope=EVERYTHING&amp;vid=01CRU&amp;lang=en_US&amp;offset=0&amp;query=any,contains,991005356889702656","Catalog Record")</f>
        <v/>
      </c>
      <c r="AT406">
        <f>HYPERLINK("http://www.worldcat.org/oclc/802031","WorldCat Record")</f>
        <v/>
      </c>
      <c r="AU406" t="inlineStr">
        <is>
          <t>4924721893:ger</t>
        </is>
      </c>
      <c r="AV406" t="inlineStr">
        <is>
          <t>802031</t>
        </is>
      </c>
      <c r="AW406" t="inlineStr">
        <is>
          <t>991005356889702656</t>
        </is>
      </c>
      <c r="AX406" t="inlineStr">
        <is>
          <t>991005356889702656</t>
        </is>
      </c>
      <c r="AY406" t="inlineStr">
        <is>
          <t>2270552310002656</t>
        </is>
      </c>
      <c r="AZ406" t="inlineStr">
        <is>
          <t>BOOK</t>
        </is>
      </c>
      <c r="BC406" t="inlineStr">
        <is>
          <t>32285002779402</t>
        </is>
      </c>
      <c r="BD406" t="inlineStr">
        <is>
          <t>893514534</t>
        </is>
      </c>
    </row>
    <row r="407">
      <c r="A407" t="inlineStr">
        <is>
          <t>No</t>
        </is>
      </c>
      <c r="B407" t="inlineStr">
        <is>
          <t>QD151 .G52 NO. 9 PT. B SECT. 3</t>
        </is>
      </c>
      <c r="C407" t="inlineStr">
        <is>
          <t>0                      QD 0151000G  52                                                      NO. 9 PT. B SECT. 3</t>
        </is>
      </c>
      <c r="D407" t="inlineStr">
        <is>
          <t>Gmelins Handbuch der anorganischen chemie.</t>
        </is>
      </c>
      <c r="E407" t="inlineStr">
        <is>
          <t>NO. 9 PT. B SECT. 3*</t>
        </is>
      </c>
      <c r="F407" t="inlineStr">
        <is>
          <t>Yes</t>
        </is>
      </c>
      <c r="G407" t="inlineStr">
        <is>
          <t>1</t>
        </is>
      </c>
      <c r="H407" t="inlineStr">
        <is>
          <t>No</t>
        </is>
      </c>
      <c r="I407" t="inlineStr">
        <is>
          <t>No</t>
        </is>
      </c>
      <c r="J407" t="inlineStr">
        <is>
          <t>0</t>
        </is>
      </c>
      <c r="L407" t="inlineStr">
        <is>
          <t>Leipzig-Berlin, Verlag Chemie g.m.b.h., 1924-</t>
        </is>
      </c>
      <c r="M407" t="inlineStr">
        <is>
          <t>1924</t>
        </is>
      </c>
      <c r="N407" t="inlineStr">
        <is>
          <t>8. aufl. Hrsg. von der Deutschen chemischen gesellschaft, bearb. von R.J. Meyer, unter beratender mitwirkung von Franz Peters.</t>
        </is>
      </c>
      <c r="O407" t="inlineStr">
        <is>
          <t>ger</t>
        </is>
      </c>
      <c r="P407" t="inlineStr">
        <is>
          <t xml:space="preserve">xx </t>
        </is>
      </c>
      <c r="R407" t="inlineStr">
        <is>
          <t xml:space="preserve">QD </t>
        </is>
      </c>
      <c r="S407" t="n">
        <v>1</v>
      </c>
      <c r="T407" t="n">
        <v>324</v>
      </c>
      <c r="U407" t="inlineStr">
        <is>
          <t>1998-07-27</t>
        </is>
      </c>
      <c r="V407" t="inlineStr">
        <is>
          <t>1998-07-28</t>
        </is>
      </c>
      <c r="W407" t="inlineStr">
        <is>
          <t>1997-06-02</t>
        </is>
      </c>
      <c r="X407" t="inlineStr">
        <is>
          <t>1998-06-24</t>
        </is>
      </c>
      <c r="Y407" t="n">
        <v>259</v>
      </c>
      <c r="Z407" t="n">
        <v>221</v>
      </c>
      <c r="AA407" t="n">
        <v>223</v>
      </c>
      <c r="AB407" t="n">
        <v>2</v>
      </c>
      <c r="AC407" t="n">
        <v>2</v>
      </c>
      <c r="AD407" t="n">
        <v>10</v>
      </c>
      <c r="AE407" t="n">
        <v>10</v>
      </c>
      <c r="AF407" t="n">
        <v>2</v>
      </c>
      <c r="AG407" t="n">
        <v>2</v>
      </c>
      <c r="AH407" t="n">
        <v>2</v>
      </c>
      <c r="AI407" t="n">
        <v>2</v>
      </c>
      <c r="AJ407" t="n">
        <v>8</v>
      </c>
      <c r="AK407" t="n">
        <v>8</v>
      </c>
      <c r="AL407" t="n">
        <v>1</v>
      </c>
      <c r="AM407" t="n">
        <v>1</v>
      </c>
      <c r="AN407" t="n">
        <v>0</v>
      </c>
      <c r="AO407" t="n">
        <v>0</v>
      </c>
      <c r="AP407" t="inlineStr">
        <is>
          <t>No</t>
        </is>
      </c>
      <c r="AQ407" t="inlineStr">
        <is>
          <t>Yes</t>
        </is>
      </c>
      <c r="AR407">
        <f>HYPERLINK("http://catalog.hathitrust.org/Record/009932175","HathiTrust Record")</f>
        <v/>
      </c>
      <c r="AS407">
        <f>HYPERLINK("https://creighton-primo.hosted.exlibrisgroup.com/primo-explore/search?tab=default_tab&amp;search_scope=EVERYTHING&amp;vid=01CRU&amp;lang=en_US&amp;offset=0&amp;query=any,contains,991005356889702656","Catalog Record")</f>
        <v/>
      </c>
      <c r="AT407">
        <f>HYPERLINK("http://www.worldcat.org/oclc/802031","WorldCat Record")</f>
        <v/>
      </c>
      <c r="AU407" t="inlineStr">
        <is>
          <t>4924721893:ger</t>
        </is>
      </c>
      <c r="AV407" t="inlineStr">
        <is>
          <t>802031</t>
        </is>
      </c>
      <c r="AW407" t="inlineStr">
        <is>
          <t>991005356889702656</t>
        </is>
      </c>
      <c r="AX407" t="inlineStr">
        <is>
          <t>991005356889702656</t>
        </is>
      </c>
      <c r="AY407" t="inlineStr">
        <is>
          <t>2270552310002656</t>
        </is>
      </c>
      <c r="AZ407" t="inlineStr">
        <is>
          <t>BOOK</t>
        </is>
      </c>
      <c r="BC407" t="inlineStr">
        <is>
          <t>32285002779410</t>
        </is>
      </c>
      <c r="BD407" t="inlineStr">
        <is>
          <t>893514533</t>
        </is>
      </c>
    </row>
    <row r="408">
      <c r="A408" t="inlineStr">
        <is>
          <t>No</t>
        </is>
      </c>
      <c r="B408" t="inlineStr">
        <is>
          <t>QD151 .G522</t>
        </is>
      </c>
      <c r="C408" t="inlineStr">
        <is>
          <t>0                      QD 0151000G  522</t>
        </is>
      </c>
      <c r="D408" t="inlineStr">
        <is>
          <t>Gmelins Handbuch der anorganischen Chemie. Systematik der Sachverhalte. [Bearb. von der Dokumentations-Abteilung des Gmelin-Instituts]</t>
        </is>
      </c>
      <c r="F408" t="inlineStr">
        <is>
          <t>No</t>
        </is>
      </c>
      <c r="G408" t="inlineStr">
        <is>
          <t>1</t>
        </is>
      </c>
      <c r="H408" t="inlineStr">
        <is>
          <t>No</t>
        </is>
      </c>
      <c r="I408" t="inlineStr">
        <is>
          <t>Yes</t>
        </is>
      </c>
      <c r="J408" t="inlineStr">
        <is>
          <t>0</t>
        </is>
      </c>
      <c r="L408" t="inlineStr">
        <is>
          <t>Weimheim [sic] Bergstrasse, Verlag Chemie, 1957.</t>
        </is>
      </c>
      <c r="M408" t="inlineStr">
        <is>
          <t>1957</t>
        </is>
      </c>
      <c r="O408" t="inlineStr">
        <is>
          <t>eng</t>
        </is>
      </c>
      <c r="P408" t="inlineStr">
        <is>
          <t xml:space="preserve">gw </t>
        </is>
      </c>
      <c r="R408" t="inlineStr">
        <is>
          <t xml:space="preserve">QD </t>
        </is>
      </c>
      <c r="S408" t="n">
        <v>1</v>
      </c>
      <c r="T408" t="n">
        <v>1</v>
      </c>
      <c r="U408" t="inlineStr">
        <is>
          <t>1998-07-27</t>
        </is>
      </c>
      <c r="V408" t="inlineStr">
        <is>
          <t>1998-07-27</t>
        </is>
      </c>
      <c r="W408" t="inlineStr">
        <is>
          <t>1997-06-09</t>
        </is>
      </c>
      <c r="X408" t="inlineStr">
        <is>
          <t>1997-06-09</t>
        </is>
      </c>
      <c r="Y408" t="n">
        <v>84</v>
      </c>
      <c r="Z408" t="n">
        <v>78</v>
      </c>
      <c r="AA408" t="n">
        <v>93</v>
      </c>
      <c r="AB408" t="n">
        <v>2</v>
      </c>
      <c r="AC408" t="n">
        <v>2</v>
      </c>
      <c r="AD408" t="n">
        <v>6</v>
      </c>
      <c r="AE408" t="n">
        <v>6</v>
      </c>
      <c r="AF408" t="n">
        <v>0</v>
      </c>
      <c r="AG408" t="n">
        <v>0</v>
      </c>
      <c r="AH408" t="n">
        <v>3</v>
      </c>
      <c r="AI408" t="n">
        <v>3</v>
      </c>
      <c r="AJ408" t="n">
        <v>4</v>
      </c>
      <c r="AK408" t="n">
        <v>4</v>
      </c>
      <c r="AL408" t="n">
        <v>1</v>
      </c>
      <c r="AM408" t="n">
        <v>1</v>
      </c>
      <c r="AN408" t="n">
        <v>0</v>
      </c>
      <c r="AO408" t="n">
        <v>0</v>
      </c>
      <c r="AP408" t="inlineStr">
        <is>
          <t>No</t>
        </is>
      </c>
      <c r="AQ408" t="inlineStr">
        <is>
          <t>No</t>
        </is>
      </c>
      <c r="AS408">
        <f>HYPERLINK("https://creighton-primo.hosted.exlibrisgroup.com/primo-explore/search?tab=default_tab&amp;search_scope=EVERYTHING&amp;vid=01CRU&amp;lang=en_US&amp;offset=0&amp;query=any,contains,991005356899702656","Catalog Record")</f>
        <v/>
      </c>
      <c r="AT408">
        <f>HYPERLINK("http://www.worldcat.org/oclc/802289","WorldCat Record")</f>
        <v/>
      </c>
      <c r="AU408" t="inlineStr">
        <is>
          <t>4927352385:eng</t>
        </is>
      </c>
      <c r="AV408" t="inlineStr">
        <is>
          <t>802289</t>
        </is>
      </c>
      <c r="AW408" t="inlineStr">
        <is>
          <t>991005356899702656</t>
        </is>
      </c>
      <c r="AX408" t="inlineStr">
        <is>
          <t>991005356899702656</t>
        </is>
      </c>
      <c r="AY408" t="inlineStr">
        <is>
          <t>2270590410002656</t>
        </is>
      </c>
      <c r="AZ408" t="inlineStr">
        <is>
          <t>BOOK</t>
        </is>
      </c>
      <c r="BC408" t="inlineStr">
        <is>
          <t>32285002792314</t>
        </is>
      </c>
      <c r="BD408" t="inlineStr">
        <is>
          <t>893501802</t>
        </is>
      </c>
    </row>
    <row r="409">
      <c r="A409" t="inlineStr">
        <is>
          <t>No</t>
        </is>
      </c>
      <c r="B409" t="inlineStr">
        <is>
          <t>QD151 .G523</t>
        </is>
      </c>
      <c r="C409" t="inlineStr">
        <is>
          <t>0                      QD 0151000G  523</t>
        </is>
      </c>
      <c r="D409" t="inlineStr">
        <is>
          <t>Gmelins Handbuch der anorganischen Chemie. Alphabetische Folge zur Systematik der Sachverhalte. [Bearb. von der Dokumentations-Abteilung des Gmelin-Instituts]</t>
        </is>
      </c>
      <c r="F409" t="inlineStr">
        <is>
          <t>No</t>
        </is>
      </c>
      <c r="G409" t="inlineStr">
        <is>
          <t>1</t>
        </is>
      </c>
      <c r="H409" t="inlineStr">
        <is>
          <t>No</t>
        </is>
      </c>
      <c r="I409" t="inlineStr">
        <is>
          <t>Yes</t>
        </is>
      </c>
      <c r="J409" t="inlineStr">
        <is>
          <t>0</t>
        </is>
      </c>
      <c r="L409" t="inlineStr">
        <is>
          <t>Weinheim, Bergstrasse, Verlag Chemie, 1959.</t>
        </is>
      </c>
      <c r="M409" t="inlineStr">
        <is>
          <t>1959</t>
        </is>
      </c>
      <c r="O409" t="inlineStr">
        <is>
          <t>eng</t>
        </is>
      </c>
      <c r="P409" t="inlineStr">
        <is>
          <t xml:space="preserve">gw </t>
        </is>
      </c>
      <c r="R409" t="inlineStr">
        <is>
          <t xml:space="preserve">QD </t>
        </is>
      </c>
      <c r="S409" t="n">
        <v>1</v>
      </c>
      <c r="T409" t="n">
        <v>1</v>
      </c>
      <c r="U409" t="inlineStr">
        <is>
          <t>1998-07-27</t>
        </is>
      </c>
      <c r="V409" t="inlineStr">
        <is>
          <t>1998-07-27</t>
        </is>
      </c>
      <c r="W409" t="inlineStr">
        <is>
          <t>1997-06-09</t>
        </is>
      </c>
      <c r="X409" t="inlineStr">
        <is>
          <t>1997-06-09</t>
        </is>
      </c>
      <c r="Y409" t="n">
        <v>82</v>
      </c>
      <c r="Z409" t="n">
        <v>78</v>
      </c>
      <c r="AA409" t="n">
        <v>93</v>
      </c>
      <c r="AB409" t="n">
        <v>2</v>
      </c>
      <c r="AC409" t="n">
        <v>2</v>
      </c>
      <c r="AD409" t="n">
        <v>5</v>
      </c>
      <c r="AE409" t="n">
        <v>6</v>
      </c>
      <c r="AF409" t="n">
        <v>0</v>
      </c>
      <c r="AG409" t="n">
        <v>0</v>
      </c>
      <c r="AH409" t="n">
        <v>2</v>
      </c>
      <c r="AI409" t="n">
        <v>3</v>
      </c>
      <c r="AJ409" t="n">
        <v>3</v>
      </c>
      <c r="AK409" t="n">
        <v>4</v>
      </c>
      <c r="AL409" t="n">
        <v>1</v>
      </c>
      <c r="AM409" t="n">
        <v>1</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HYPERLINK("https://creighton-primo.hosted.exlibrisgroup.com/primo-explore/search?tab=default_tab&amp;search_scope=EVERYTHING&amp;vid=01CRU&amp;lang=en_US&amp;offset=0&amp;query=any,contains,991005356909702656","Catalog Record")</f>
        <v/>
      </c>
      <c r="AT409">
        <f>HYPERLINK("http://www.worldcat.org/oclc/802292","WorldCat Record")</f>
        <v/>
      </c>
      <c r="AU409" t="inlineStr">
        <is>
          <t>4927352385:eng</t>
        </is>
      </c>
      <c r="AV409" t="inlineStr">
        <is>
          <t>802292</t>
        </is>
      </c>
      <c r="AW409" t="inlineStr">
        <is>
          <t>991005356909702656</t>
        </is>
      </c>
      <c r="AX409" t="inlineStr">
        <is>
          <t>991005356909702656</t>
        </is>
      </c>
      <c r="AY409" t="inlineStr">
        <is>
          <t>2270592510002656</t>
        </is>
      </c>
      <c r="AZ409" t="inlineStr">
        <is>
          <t>BOOK</t>
        </is>
      </c>
      <c r="BC409" t="inlineStr">
        <is>
          <t>32285002792322</t>
        </is>
      </c>
      <c r="BD409" t="inlineStr">
        <is>
          <t>893701444</t>
        </is>
      </c>
    </row>
    <row r="410">
      <c r="A410" t="inlineStr">
        <is>
          <t>No</t>
        </is>
      </c>
      <c r="B410" t="inlineStr">
        <is>
          <t>QD151 .G526</t>
        </is>
      </c>
      <c r="C410" t="inlineStr">
        <is>
          <t>0                      QD 0151000G  526</t>
        </is>
      </c>
      <c r="D410" t="inlineStr">
        <is>
          <t>Gmelins Handbuch der anorganischen chemie.</t>
        </is>
      </c>
      <c r="E410" t="inlineStr">
        <is>
          <t>V.6</t>
        </is>
      </c>
      <c r="F410" t="inlineStr">
        <is>
          <t>Yes</t>
        </is>
      </c>
      <c r="G410" t="inlineStr">
        <is>
          <t>1</t>
        </is>
      </c>
      <c r="H410" t="inlineStr">
        <is>
          <t>No</t>
        </is>
      </c>
      <c r="I410" t="inlineStr">
        <is>
          <t>No</t>
        </is>
      </c>
      <c r="J410" t="inlineStr">
        <is>
          <t>0</t>
        </is>
      </c>
      <c r="L410" t="inlineStr">
        <is>
          <t>Berlin ; New York : Springer-Verlag, 1975-</t>
        </is>
      </c>
      <c r="M410" t="inlineStr">
        <is>
          <t>1975</t>
        </is>
      </c>
      <c r="N410" t="inlineStr">
        <is>
          <t>8. Aufl. Hrsg. von der Deutschen Chemischen Gesellschaft, bearb. von R. J. Meyer, unter beratender Mitwirkung von Franz Peters. Index : formula index.</t>
        </is>
      </c>
      <c r="O410" t="inlineStr">
        <is>
          <t>eng</t>
        </is>
      </c>
      <c r="P410" t="inlineStr">
        <is>
          <t xml:space="preserve">gw </t>
        </is>
      </c>
      <c r="R410" t="inlineStr">
        <is>
          <t xml:space="preserve">QD </t>
        </is>
      </c>
      <c r="S410" t="n">
        <v>1</v>
      </c>
      <c r="T410" t="n">
        <v>9</v>
      </c>
      <c r="U410" t="inlineStr">
        <is>
          <t>1998-07-27</t>
        </is>
      </c>
      <c r="V410" t="inlineStr">
        <is>
          <t>1998-07-27</t>
        </is>
      </c>
      <c r="W410" t="inlineStr">
        <is>
          <t>1997-06-09</t>
        </is>
      </c>
      <c r="X410" t="inlineStr">
        <is>
          <t>1997-06-09</t>
        </is>
      </c>
      <c r="Y410" t="n">
        <v>34</v>
      </c>
      <c r="Z410" t="n">
        <v>29</v>
      </c>
      <c r="AA410" t="n">
        <v>32</v>
      </c>
      <c r="AB410" t="n">
        <v>3</v>
      </c>
      <c r="AC410" t="n">
        <v>3</v>
      </c>
      <c r="AD410" t="n">
        <v>2</v>
      </c>
      <c r="AE410" t="n">
        <v>3</v>
      </c>
      <c r="AF410" t="n">
        <v>0</v>
      </c>
      <c r="AG410" t="n">
        <v>0</v>
      </c>
      <c r="AH410" t="n">
        <v>0</v>
      </c>
      <c r="AI410" t="n">
        <v>0</v>
      </c>
      <c r="AJ410" t="n">
        <v>0</v>
      </c>
      <c r="AK410" t="n">
        <v>1</v>
      </c>
      <c r="AL410" t="n">
        <v>2</v>
      </c>
      <c r="AM410" t="n">
        <v>2</v>
      </c>
      <c r="AN410" t="n">
        <v>0</v>
      </c>
      <c r="AO410" t="n">
        <v>0</v>
      </c>
      <c r="AP410" t="inlineStr">
        <is>
          <t>No</t>
        </is>
      </c>
      <c r="AQ410" t="inlineStr">
        <is>
          <t>Yes</t>
        </is>
      </c>
      <c r="AR410">
        <f>HYPERLINK("http://catalog.hathitrust.org/Record/009218720","HathiTrust Record")</f>
        <v/>
      </c>
      <c r="AS410">
        <f>HYPERLINK("https://creighton-primo.hosted.exlibrisgroup.com/primo-explore/search?tab=default_tab&amp;search_scope=EVERYTHING&amp;vid=01CRU&amp;lang=en_US&amp;offset=0&amp;query=any,contains,991005372079702656","Catalog Record")</f>
        <v/>
      </c>
      <c r="AT410">
        <f>HYPERLINK("http://www.worldcat.org/oclc/4059610","WorldCat Record")</f>
        <v/>
      </c>
      <c r="AU410" t="inlineStr">
        <is>
          <t>4915812513:eng</t>
        </is>
      </c>
      <c r="AV410" t="inlineStr">
        <is>
          <t>4059610</t>
        </is>
      </c>
      <c r="AW410" t="inlineStr">
        <is>
          <t>991005372079702656</t>
        </is>
      </c>
      <c r="AX410" t="inlineStr">
        <is>
          <t>991005372079702656</t>
        </is>
      </c>
      <c r="AY410" t="inlineStr">
        <is>
          <t>2270730480002656</t>
        </is>
      </c>
      <c r="AZ410" t="inlineStr">
        <is>
          <t>BOOK</t>
        </is>
      </c>
      <c r="BB410" t="inlineStr">
        <is>
          <t>9780387932958</t>
        </is>
      </c>
      <c r="BC410" t="inlineStr">
        <is>
          <t>32285002792389</t>
        </is>
      </c>
      <c r="BD410" t="inlineStr">
        <is>
          <t>893789913</t>
        </is>
      </c>
    </row>
    <row r="411">
      <c r="A411" t="inlineStr">
        <is>
          <t>No</t>
        </is>
      </c>
      <c r="B411" t="inlineStr">
        <is>
          <t>QD151 .G526</t>
        </is>
      </c>
      <c r="C411" t="inlineStr">
        <is>
          <t>0                      QD 0151000G  526</t>
        </is>
      </c>
      <c r="D411" t="inlineStr">
        <is>
          <t>Gmelins Handbuch der anorganischen chemie.</t>
        </is>
      </c>
      <c r="E411" t="inlineStr">
        <is>
          <t>V.9</t>
        </is>
      </c>
      <c r="F411" t="inlineStr">
        <is>
          <t>Yes</t>
        </is>
      </c>
      <c r="G411" t="inlineStr">
        <is>
          <t>1</t>
        </is>
      </c>
      <c r="H411" t="inlineStr">
        <is>
          <t>No</t>
        </is>
      </c>
      <c r="I411" t="inlineStr">
        <is>
          <t>No</t>
        </is>
      </c>
      <c r="J411" t="inlineStr">
        <is>
          <t>0</t>
        </is>
      </c>
      <c r="L411" t="inlineStr">
        <is>
          <t>Berlin ; New York : Springer-Verlag, 1975-</t>
        </is>
      </c>
      <c r="M411" t="inlineStr">
        <is>
          <t>1975</t>
        </is>
      </c>
      <c r="N411" t="inlineStr">
        <is>
          <t>8. Aufl. Hrsg. von der Deutschen Chemischen Gesellschaft, bearb. von R. J. Meyer, unter beratender Mitwirkung von Franz Peters. Index : formula index.</t>
        </is>
      </c>
      <c r="O411" t="inlineStr">
        <is>
          <t>eng</t>
        </is>
      </c>
      <c r="P411" t="inlineStr">
        <is>
          <t xml:space="preserve">gw </t>
        </is>
      </c>
      <c r="R411" t="inlineStr">
        <is>
          <t xml:space="preserve">QD </t>
        </is>
      </c>
      <c r="S411" t="n">
        <v>1</v>
      </c>
      <c r="T411" t="n">
        <v>9</v>
      </c>
      <c r="U411" t="inlineStr">
        <is>
          <t>1998-07-27</t>
        </is>
      </c>
      <c r="V411" t="inlineStr">
        <is>
          <t>1998-07-27</t>
        </is>
      </c>
      <c r="W411" t="inlineStr">
        <is>
          <t>1997-06-09</t>
        </is>
      </c>
      <c r="X411" t="inlineStr">
        <is>
          <t>1997-06-09</t>
        </is>
      </c>
      <c r="Y411" t="n">
        <v>34</v>
      </c>
      <c r="Z411" t="n">
        <v>29</v>
      </c>
      <c r="AA411" t="n">
        <v>32</v>
      </c>
      <c r="AB411" t="n">
        <v>3</v>
      </c>
      <c r="AC411" t="n">
        <v>3</v>
      </c>
      <c r="AD411" t="n">
        <v>2</v>
      </c>
      <c r="AE411" t="n">
        <v>3</v>
      </c>
      <c r="AF411" t="n">
        <v>0</v>
      </c>
      <c r="AG411" t="n">
        <v>0</v>
      </c>
      <c r="AH411" t="n">
        <v>0</v>
      </c>
      <c r="AI411" t="n">
        <v>0</v>
      </c>
      <c r="AJ411" t="n">
        <v>0</v>
      </c>
      <c r="AK411" t="n">
        <v>1</v>
      </c>
      <c r="AL411" t="n">
        <v>2</v>
      </c>
      <c r="AM411" t="n">
        <v>2</v>
      </c>
      <c r="AN411" t="n">
        <v>0</v>
      </c>
      <c r="AO411" t="n">
        <v>0</v>
      </c>
      <c r="AP411" t="inlineStr">
        <is>
          <t>No</t>
        </is>
      </c>
      <c r="AQ411" t="inlineStr">
        <is>
          <t>Yes</t>
        </is>
      </c>
      <c r="AR411">
        <f>HYPERLINK("http://catalog.hathitrust.org/Record/009218720","HathiTrust Record")</f>
        <v/>
      </c>
      <c r="AS411">
        <f>HYPERLINK("https://creighton-primo.hosted.exlibrisgroup.com/primo-explore/search?tab=default_tab&amp;search_scope=EVERYTHING&amp;vid=01CRU&amp;lang=en_US&amp;offset=0&amp;query=any,contains,991005372079702656","Catalog Record")</f>
        <v/>
      </c>
      <c r="AT411">
        <f>HYPERLINK("http://www.worldcat.org/oclc/4059610","WorldCat Record")</f>
        <v/>
      </c>
      <c r="AU411" t="inlineStr">
        <is>
          <t>4915812513:eng</t>
        </is>
      </c>
      <c r="AV411" t="inlineStr">
        <is>
          <t>4059610</t>
        </is>
      </c>
      <c r="AW411" t="inlineStr">
        <is>
          <t>991005372079702656</t>
        </is>
      </c>
      <c r="AX411" t="inlineStr">
        <is>
          <t>991005372079702656</t>
        </is>
      </c>
      <c r="AY411" t="inlineStr">
        <is>
          <t>2270730480002656</t>
        </is>
      </c>
      <c r="AZ411" t="inlineStr">
        <is>
          <t>BOOK</t>
        </is>
      </c>
      <c r="BB411" t="inlineStr">
        <is>
          <t>9780387932958</t>
        </is>
      </c>
      <c r="BC411" t="inlineStr">
        <is>
          <t>32285002792413</t>
        </is>
      </c>
      <c r="BD411" t="inlineStr">
        <is>
          <t>893777347</t>
        </is>
      </c>
    </row>
    <row r="412">
      <c r="A412" t="inlineStr">
        <is>
          <t>No</t>
        </is>
      </c>
      <c r="B412" t="inlineStr">
        <is>
          <t>QD151 .G526</t>
        </is>
      </c>
      <c r="C412" t="inlineStr">
        <is>
          <t>0                      QD 0151000G  526</t>
        </is>
      </c>
      <c r="D412" t="inlineStr">
        <is>
          <t>Gmelins Handbuch der anorganischen chemie.</t>
        </is>
      </c>
      <c r="E412" t="inlineStr">
        <is>
          <t>V.8</t>
        </is>
      </c>
      <c r="F412" t="inlineStr">
        <is>
          <t>Yes</t>
        </is>
      </c>
      <c r="G412" t="inlineStr">
        <is>
          <t>1</t>
        </is>
      </c>
      <c r="H412" t="inlineStr">
        <is>
          <t>No</t>
        </is>
      </c>
      <c r="I412" t="inlineStr">
        <is>
          <t>No</t>
        </is>
      </c>
      <c r="J412" t="inlineStr">
        <is>
          <t>0</t>
        </is>
      </c>
      <c r="L412" t="inlineStr">
        <is>
          <t>Berlin ; New York : Springer-Verlag, 1975-</t>
        </is>
      </c>
      <c r="M412" t="inlineStr">
        <is>
          <t>1975</t>
        </is>
      </c>
      <c r="N412" t="inlineStr">
        <is>
          <t>8. Aufl. Hrsg. von der Deutschen Chemischen Gesellschaft, bearb. von R. J. Meyer, unter beratender Mitwirkung von Franz Peters. Index : formula index.</t>
        </is>
      </c>
      <c r="O412" t="inlineStr">
        <is>
          <t>eng</t>
        </is>
      </c>
      <c r="P412" t="inlineStr">
        <is>
          <t xml:space="preserve">gw </t>
        </is>
      </c>
      <c r="R412" t="inlineStr">
        <is>
          <t xml:space="preserve">QD </t>
        </is>
      </c>
      <c r="S412" t="n">
        <v>1</v>
      </c>
      <c r="T412" t="n">
        <v>9</v>
      </c>
      <c r="U412" t="inlineStr">
        <is>
          <t>1998-07-27</t>
        </is>
      </c>
      <c r="V412" t="inlineStr">
        <is>
          <t>1998-07-27</t>
        </is>
      </c>
      <c r="W412" t="inlineStr">
        <is>
          <t>1997-06-09</t>
        </is>
      </c>
      <c r="X412" t="inlineStr">
        <is>
          <t>1997-06-09</t>
        </is>
      </c>
      <c r="Y412" t="n">
        <v>34</v>
      </c>
      <c r="Z412" t="n">
        <v>29</v>
      </c>
      <c r="AA412" t="n">
        <v>32</v>
      </c>
      <c r="AB412" t="n">
        <v>3</v>
      </c>
      <c r="AC412" t="n">
        <v>3</v>
      </c>
      <c r="AD412" t="n">
        <v>2</v>
      </c>
      <c r="AE412" t="n">
        <v>3</v>
      </c>
      <c r="AF412" t="n">
        <v>0</v>
      </c>
      <c r="AG412" t="n">
        <v>0</v>
      </c>
      <c r="AH412" t="n">
        <v>0</v>
      </c>
      <c r="AI412" t="n">
        <v>0</v>
      </c>
      <c r="AJ412" t="n">
        <v>0</v>
      </c>
      <c r="AK412" t="n">
        <v>1</v>
      </c>
      <c r="AL412" t="n">
        <v>2</v>
      </c>
      <c r="AM412" t="n">
        <v>2</v>
      </c>
      <c r="AN412" t="n">
        <v>0</v>
      </c>
      <c r="AO412" t="n">
        <v>0</v>
      </c>
      <c r="AP412" t="inlineStr">
        <is>
          <t>No</t>
        </is>
      </c>
      <c r="AQ412" t="inlineStr">
        <is>
          <t>Yes</t>
        </is>
      </c>
      <c r="AR412">
        <f>HYPERLINK("http://catalog.hathitrust.org/Record/009218720","HathiTrust Record")</f>
        <v/>
      </c>
      <c r="AS412">
        <f>HYPERLINK("https://creighton-primo.hosted.exlibrisgroup.com/primo-explore/search?tab=default_tab&amp;search_scope=EVERYTHING&amp;vid=01CRU&amp;lang=en_US&amp;offset=0&amp;query=any,contains,991005372079702656","Catalog Record")</f>
        <v/>
      </c>
      <c r="AT412">
        <f>HYPERLINK("http://www.worldcat.org/oclc/4059610","WorldCat Record")</f>
        <v/>
      </c>
      <c r="AU412" t="inlineStr">
        <is>
          <t>4915812513:eng</t>
        </is>
      </c>
      <c r="AV412" t="inlineStr">
        <is>
          <t>4059610</t>
        </is>
      </c>
      <c r="AW412" t="inlineStr">
        <is>
          <t>991005372079702656</t>
        </is>
      </c>
      <c r="AX412" t="inlineStr">
        <is>
          <t>991005372079702656</t>
        </is>
      </c>
      <c r="AY412" t="inlineStr">
        <is>
          <t>2270730480002656</t>
        </is>
      </c>
      <c r="AZ412" t="inlineStr">
        <is>
          <t>BOOK</t>
        </is>
      </c>
      <c r="BB412" t="inlineStr">
        <is>
          <t>9780387932958</t>
        </is>
      </c>
      <c r="BC412" t="inlineStr">
        <is>
          <t>32285002792405</t>
        </is>
      </c>
      <c r="BD412" t="inlineStr">
        <is>
          <t>893811047</t>
        </is>
      </c>
    </row>
    <row r="413">
      <c r="A413" t="inlineStr">
        <is>
          <t>No</t>
        </is>
      </c>
      <c r="B413" t="inlineStr">
        <is>
          <t>QD151 .G526</t>
        </is>
      </c>
      <c r="C413" t="inlineStr">
        <is>
          <t>0                      QD 0151000G  526</t>
        </is>
      </c>
      <c r="D413" t="inlineStr">
        <is>
          <t>Gmelins Handbuch der anorganischen chemie.</t>
        </is>
      </c>
      <c r="E413" t="inlineStr">
        <is>
          <t>V.3</t>
        </is>
      </c>
      <c r="F413" t="inlineStr">
        <is>
          <t>Yes</t>
        </is>
      </c>
      <c r="G413" t="inlineStr">
        <is>
          <t>1</t>
        </is>
      </c>
      <c r="H413" t="inlineStr">
        <is>
          <t>No</t>
        </is>
      </c>
      <c r="I413" t="inlineStr">
        <is>
          <t>No</t>
        </is>
      </c>
      <c r="J413" t="inlineStr">
        <is>
          <t>0</t>
        </is>
      </c>
      <c r="L413" t="inlineStr">
        <is>
          <t>Berlin ; New York : Springer-Verlag, 1975-</t>
        </is>
      </c>
      <c r="M413" t="inlineStr">
        <is>
          <t>1975</t>
        </is>
      </c>
      <c r="N413" t="inlineStr">
        <is>
          <t>8. Aufl. Hrsg. von der Deutschen Chemischen Gesellschaft, bearb. von R. J. Meyer, unter beratender Mitwirkung von Franz Peters. Index : formula index.</t>
        </is>
      </c>
      <c r="O413" t="inlineStr">
        <is>
          <t>eng</t>
        </is>
      </c>
      <c r="P413" t="inlineStr">
        <is>
          <t xml:space="preserve">gw </t>
        </is>
      </c>
      <c r="R413" t="inlineStr">
        <is>
          <t xml:space="preserve">QD </t>
        </is>
      </c>
      <c r="S413" t="n">
        <v>1</v>
      </c>
      <c r="T413" t="n">
        <v>9</v>
      </c>
      <c r="U413" t="inlineStr">
        <is>
          <t>1998-07-27</t>
        </is>
      </c>
      <c r="V413" t="inlineStr">
        <is>
          <t>1998-07-27</t>
        </is>
      </c>
      <c r="W413" t="inlineStr">
        <is>
          <t>1997-06-09</t>
        </is>
      </c>
      <c r="X413" t="inlineStr">
        <is>
          <t>1997-06-09</t>
        </is>
      </c>
      <c r="Y413" t="n">
        <v>34</v>
      </c>
      <c r="Z413" t="n">
        <v>29</v>
      </c>
      <c r="AA413" t="n">
        <v>32</v>
      </c>
      <c r="AB413" t="n">
        <v>3</v>
      </c>
      <c r="AC413" t="n">
        <v>3</v>
      </c>
      <c r="AD413" t="n">
        <v>2</v>
      </c>
      <c r="AE413" t="n">
        <v>3</v>
      </c>
      <c r="AF413" t="n">
        <v>0</v>
      </c>
      <c r="AG413" t="n">
        <v>0</v>
      </c>
      <c r="AH413" t="n">
        <v>0</v>
      </c>
      <c r="AI413" t="n">
        <v>0</v>
      </c>
      <c r="AJ413" t="n">
        <v>0</v>
      </c>
      <c r="AK413" t="n">
        <v>1</v>
      </c>
      <c r="AL413" t="n">
        <v>2</v>
      </c>
      <c r="AM413" t="n">
        <v>2</v>
      </c>
      <c r="AN413" t="n">
        <v>0</v>
      </c>
      <c r="AO413" t="n">
        <v>0</v>
      </c>
      <c r="AP413" t="inlineStr">
        <is>
          <t>No</t>
        </is>
      </c>
      <c r="AQ413" t="inlineStr">
        <is>
          <t>Yes</t>
        </is>
      </c>
      <c r="AR413">
        <f>HYPERLINK("http://catalog.hathitrust.org/Record/009218720","HathiTrust Record")</f>
        <v/>
      </c>
      <c r="AS413">
        <f>HYPERLINK("https://creighton-primo.hosted.exlibrisgroup.com/primo-explore/search?tab=default_tab&amp;search_scope=EVERYTHING&amp;vid=01CRU&amp;lang=en_US&amp;offset=0&amp;query=any,contains,991005372079702656","Catalog Record")</f>
        <v/>
      </c>
      <c r="AT413">
        <f>HYPERLINK("http://www.worldcat.org/oclc/4059610","WorldCat Record")</f>
        <v/>
      </c>
      <c r="AU413" t="inlineStr">
        <is>
          <t>4915812513:eng</t>
        </is>
      </c>
      <c r="AV413" t="inlineStr">
        <is>
          <t>4059610</t>
        </is>
      </c>
      <c r="AW413" t="inlineStr">
        <is>
          <t>991005372079702656</t>
        </is>
      </c>
      <c r="AX413" t="inlineStr">
        <is>
          <t>991005372079702656</t>
        </is>
      </c>
      <c r="AY413" t="inlineStr">
        <is>
          <t>2270730480002656</t>
        </is>
      </c>
      <c r="AZ413" t="inlineStr">
        <is>
          <t>BOOK</t>
        </is>
      </c>
      <c r="BB413" t="inlineStr">
        <is>
          <t>9780387932958</t>
        </is>
      </c>
      <c r="BC413" t="inlineStr">
        <is>
          <t>32285002792355</t>
        </is>
      </c>
      <c r="BD413" t="inlineStr">
        <is>
          <t>893808313</t>
        </is>
      </c>
    </row>
    <row r="414">
      <c r="A414" t="inlineStr">
        <is>
          <t>No</t>
        </is>
      </c>
      <c r="B414" t="inlineStr">
        <is>
          <t>QD151 .G526</t>
        </is>
      </c>
      <c r="C414" t="inlineStr">
        <is>
          <t>0                      QD 0151000G  526</t>
        </is>
      </c>
      <c r="D414" t="inlineStr">
        <is>
          <t>Gmelins Handbuch der anorganischen chemie.</t>
        </is>
      </c>
      <c r="E414" t="inlineStr">
        <is>
          <t>V.7</t>
        </is>
      </c>
      <c r="F414" t="inlineStr">
        <is>
          <t>Yes</t>
        </is>
      </c>
      <c r="G414" t="inlineStr">
        <is>
          <t>1</t>
        </is>
      </c>
      <c r="H414" t="inlineStr">
        <is>
          <t>No</t>
        </is>
      </c>
      <c r="I414" t="inlineStr">
        <is>
          <t>No</t>
        </is>
      </c>
      <c r="J414" t="inlineStr">
        <is>
          <t>0</t>
        </is>
      </c>
      <c r="L414" t="inlineStr">
        <is>
          <t>Berlin ; New York : Springer-Verlag, 1975-</t>
        </is>
      </c>
      <c r="M414" t="inlineStr">
        <is>
          <t>1975</t>
        </is>
      </c>
      <c r="N414" t="inlineStr">
        <is>
          <t>8. Aufl. Hrsg. von der Deutschen Chemischen Gesellschaft, bearb. von R. J. Meyer, unter beratender Mitwirkung von Franz Peters. Index : formula index.</t>
        </is>
      </c>
      <c r="O414" t="inlineStr">
        <is>
          <t>eng</t>
        </is>
      </c>
      <c r="P414" t="inlineStr">
        <is>
          <t xml:space="preserve">gw </t>
        </is>
      </c>
      <c r="R414" t="inlineStr">
        <is>
          <t xml:space="preserve">QD </t>
        </is>
      </c>
      <c r="S414" t="n">
        <v>1</v>
      </c>
      <c r="T414" t="n">
        <v>9</v>
      </c>
      <c r="U414" t="inlineStr">
        <is>
          <t>1998-07-27</t>
        </is>
      </c>
      <c r="V414" t="inlineStr">
        <is>
          <t>1998-07-27</t>
        </is>
      </c>
      <c r="W414" t="inlineStr">
        <is>
          <t>1997-06-09</t>
        </is>
      </c>
      <c r="X414" t="inlineStr">
        <is>
          <t>1997-06-09</t>
        </is>
      </c>
      <c r="Y414" t="n">
        <v>34</v>
      </c>
      <c r="Z414" t="n">
        <v>29</v>
      </c>
      <c r="AA414" t="n">
        <v>32</v>
      </c>
      <c r="AB414" t="n">
        <v>3</v>
      </c>
      <c r="AC414" t="n">
        <v>3</v>
      </c>
      <c r="AD414" t="n">
        <v>2</v>
      </c>
      <c r="AE414" t="n">
        <v>3</v>
      </c>
      <c r="AF414" t="n">
        <v>0</v>
      </c>
      <c r="AG414" t="n">
        <v>0</v>
      </c>
      <c r="AH414" t="n">
        <v>0</v>
      </c>
      <c r="AI414" t="n">
        <v>0</v>
      </c>
      <c r="AJ414" t="n">
        <v>0</v>
      </c>
      <c r="AK414" t="n">
        <v>1</v>
      </c>
      <c r="AL414" t="n">
        <v>2</v>
      </c>
      <c r="AM414" t="n">
        <v>2</v>
      </c>
      <c r="AN414" t="n">
        <v>0</v>
      </c>
      <c r="AO414" t="n">
        <v>0</v>
      </c>
      <c r="AP414" t="inlineStr">
        <is>
          <t>No</t>
        </is>
      </c>
      <c r="AQ414" t="inlineStr">
        <is>
          <t>Yes</t>
        </is>
      </c>
      <c r="AR414">
        <f>HYPERLINK("http://catalog.hathitrust.org/Record/009218720","HathiTrust Record")</f>
        <v/>
      </c>
      <c r="AS414">
        <f>HYPERLINK("https://creighton-primo.hosted.exlibrisgroup.com/primo-explore/search?tab=default_tab&amp;search_scope=EVERYTHING&amp;vid=01CRU&amp;lang=en_US&amp;offset=0&amp;query=any,contains,991005372079702656","Catalog Record")</f>
        <v/>
      </c>
      <c r="AT414">
        <f>HYPERLINK("http://www.worldcat.org/oclc/4059610","WorldCat Record")</f>
        <v/>
      </c>
      <c r="AU414" t="inlineStr">
        <is>
          <t>4915812513:eng</t>
        </is>
      </c>
      <c r="AV414" t="inlineStr">
        <is>
          <t>4059610</t>
        </is>
      </c>
      <c r="AW414" t="inlineStr">
        <is>
          <t>991005372079702656</t>
        </is>
      </c>
      <c r="AX414" t="inlineStr">
        <is>
          <t>991005372079702656</t>
        </is>
      </c>
      <c r="AY414" t="inlineStr">
        <is>
          <t>2270730480002656</t>
        </is>
      </c>
      <c r="AZ414" t="inlineStr">
        <is>
          <t>BOOK</t>
        </is>
      </c>
      <c r="BB414" t="inlineStr">
        <is>
          <t>9780387932958</t>
        </is>
      </c>
      <c r="BC414" t="inlineStr">
        <is>
          <t>32285002792397</t>
        </is>
      </c>
      <c r="BD414" t="inlineStr">
        <is>
          <t>893808314</t>
        </is>
      </c>
    </row>
    <row r="415">
      <c r="A415" t="inlineStr">
        <is>
          <t>No</t>
        </is>
      </c>
      <c r="B415" t="inlineStr">
        <is>
          <t>QD151 .G526</t>
        </is>
      </c>
      <c r="C415" t="inlineStr">
        <is>
          <t>0                      QD 0151000G  526</t>
        </is>
      </c>
      <c r="D415" t="inlineStr">
        <is>
          <t>Gmelins Handbuch der anorganischen chemie.</t>
        </is>
      </c>
      <c r="E415" t="inlineStr">
        <is>
          <t>V.2</t>
        </is>
      </c>
      <c r="F415" t="inlineStr">
        <is>
          <t>Yes</t>
        </is>
      </c>
      <c r="G415" t="inlineStr">
        <is>
          <t>1</t>
        </is>
      </c>
      <c r="H415" t="inlineStr">
        <is>
          <t>No</t>
        </is>
      </c>
      <c r="I415" t="inlineStr">
        <is>
          <t>No</t>
        </is>
      </c>
      <c r="J415" t="inlineStr">
        <is>
          <t>0</t>
        </is>
      </c>
      <c r="L415" t="inlineStr">
        <is>
          <t>Berlin ; New York : Springer-Verlag, 1975-</t>
        </is>
      </c>
      <c r="M415" t="inlineStr">
        <is>
          <t>1975</t>
        </is>
      </c>
      <c r="N415" t="inlineStr">
        <is>
          <t>8. Aufl. Hrsg. von der Deutschen Chemischen Gesellschaft, bearb. von R. J. Meyer, unter beratender Mitwirkung von Franz Peters. Index : formula index.</t>
        </is>
      </c>
      <c r="O415" t="inlineStr">
        <is>
          <t>eng</t>
        </is>
      </c>
      <c r="P415" t="inlineStr">
        <is>
          <t xml:space="preserve">gw </t>
        </is>
      </c>
      <c r="R415" t="inlineStr">
        <is>
          <t xml:space="preserve">QD </t>
        </is>
      </c>
      <c r="S415" t="n">
        <v>1</v>
      </c>
      <c r="T415" t="n">
        <v>9</v>
      </c>
      <c r="U415" t="inlineStr">
        <is>
          <t>1998-07-27</t>
        </is>
      </c>
      <c r="V415" t="inlineStr">
        <is>
          <t>1998-07-27</t>
        </is>
      </c>
      <c r="W415" t="inlineStr">
        <is>
          <t>1997-06-09</t>
        </is>
      </c>
      <c r="X415" t="inlineStr">
        <is>
          <t>1997-06-09</t>
        </is>
      </c>
      <c r="Y415" t="n">
        <v>34</v>
      </c>
      <c r="Z415" t="n">
        <v>29</v>
      </c>
      <c r="AA415" t="n">
        <v>32</v>
      </c>
      <c r="AB415" t="n">
        <v>3</v>
      </c>
      <c r="AC415" t="n">
        <v>3</v>
      </c>
      <c r="AD415" t="n">
        <v>2</v>
      </c>
      <c r="AE415" t="n">
        <v>3</v>
      </c>
      <c r="AF415" t="n">
        <v>0</v>
      </c>
      <c r="AG415" t="n">
        <v>0</v>
      </c>
      <c r="AH415" t="n">
        <v>0</v>
      </c>
      <c r="AI415" t="n">
        <v>0</v>
      </c>
      <c r="AJ415" t="n">
        <v>0</v>
      </c>
      <c r="AK415" t="n">
        <v>1</v>
      </c>
      <c r="AL415" t="n">
        <v>2</v>
      </c>
      <c r="AM415" t="n">
        <v>2</v>
      </c>
      <c r="AN415" t="n">
        <v>0</v>
      </c>
      <c r="AO415" t="n">
        <v>0</v>
      </c>
      <c r="AP415" t="inlineStr">
        <is>
          <t>No</t>
        </is>
      </c>
      <c r="AQ415" t="inlineStr">
        <is>
          <t>Yes</t>
        </is>
      </c>
      <c r="AR415">
        <f>HYPERLINK("http://catalog.hathitrust.org/Record/009218720","HathiTrust Record")</f>
        <v/>
      </c>
      <c r="AS415">
        <f>HYPERLINK("https://creighton-primo.hosted.exlibrisgroup.com/primo-explore/search?tab=default_tab&amp;search_scope=EVERYTHING&amp;vid=01CRU&amp;lang=en_US&amp;offset=0&amp;query=any,contains,991005372079702656","Catalog Record")</f>
        <v/>
      </c>
      <c r="AT415">
        <f>HYPERLINK("http://www.worldcat.org/oclc/4059610","WorldCat Record")</f>
        <v/>
      </c>
      <c r="AU415" t="inlineStr">
        <is>
          <t>4915812513:eng</t>
        </is>
      </c>
      <c r="AV415" t="inlineStr">
        <is>
          <t>4059610</t>
        </is>
      </c>
      <c r="AW415" t="inlineStr">
        <is>
          <t>991005372079702656</t>
        </is>
      </c>
      <c r="AX415" t="inlineStr">
        <is>
          <t>991005372079702656</t>
        </is>
      </c>
      <c r="AY415" t="inlineStr">
        <is>
          <t>2270730480002656</t>
        </is>
      </c>
      <c r="AZ415" t="inlineStr">
        <is>
          <t>BOOK</t>
        </is>
      </c>
      <c r="BB415" t="inlineStr">
        <is>
          <t>9780387932958</t>
        </is>
      </c>
      <c r="BC415" t="inlineStr">
        <is>
          <t>32285002792348</t>
        </is>
      </c>
      <c r="BD415" t="inlineStr">
        <is>
          <t>893802203</t>
        </is>
      </c>
    </row>
    <row r="416">
      <c r="A416" t="inlineStr">
        <is>
          <t>No</t>
        </is>
      </c>
      <c r="B416" t="inlineStr">
        <is>
          <t>QD151 .G526</t>
        </is>
      </c>
      <c r="C416" t="inlineStr">
        <is>
          <t>0                      QD 0151000G  526</t>
        </is>
      </c>
      <c r="D416" t="inlineStr">
        <is>
          <t>Gmelins Handbuch der anorganischen chemie.</t>
        </is>
      </c>
      <c r="E416" t="inlineStr">
        <is>
          <t>V.4</t>
        </is>
      </c>
      <c r="F416" t="inlineStr">
        <is>
          <t>Yes</t>
        </is>
      </c>
      <c r="G416" t="inlineStr">
        <is>
          <t>1</t>
        </is>
      </c>
      <c r="H416" t="inlineStr">
        <is>
          <t>No</t>
        </is>
      </c>
      <c r="I416" t="inlineStr">
        <is>
          <t>No</t>
        </is>
      </c>
      <c r="J416" t="inlineStr">
        <is>
          <t>0</t>
        </is>
      </c>
      <c r="L416" t="inlineStr">
        <is>
          <t>Berlin ; New York : Springer-Verlag, 1975-</t>
        </is>
      </c>
      <c r="M416" t="inlineStr">
        <is>
          <t>1975</t>
        </is>
      </c>
      <c r="N416" t="inlineStr">
        <is>
          <t>8. Aufl. Hrsg. von der Deutschen Chemischen Gesellschaft, bearb. von R. J. Meyer, unter beratender Mitwirkung von Franz Peters. Index : formula index.</t>
        </is>
      </c>
      <c r="O416" t="inlineStr">
        <is>
          <t>eng</t>
        </is>
      </c>
      <c r="P416" t="inlineStr">
        <is>
          <t xml:space="preserve">gw </t>
        </is>
      </c>
      <c r="R416" t="inlineStr">
        <is>
          <t xml:space="preserve">QD </t>
        </is>
      </c>
      <c r="S416" t="n">
        <v>1</v>
      </c>
      <c r="T416" t="n">
        <v>9</v>
      </c>
      <c r="U416" t="inlineStr">
        <is>
          <t>1998-07-27</t>
        </is>
      </c>
      <c r="V416" t="inlineStr">
        <is>
          <t>1998-07-27</t>
        </is>
      </c>
      <c r="W416" t="inlineStr">
        <is>
          <t>1997-06-09</t>
        </is>
      </c>
      <c r="X416" t="inlineStr">
        <is>
          <t>1997-06-09</t>
        </is>
      </c>
      <c r="Y416" t="n">
        <v>34</v>
      </c>
      <c r="Z416" t="n">
        <v>29</v>
      </c>
      <c r="AA416" t="n">
        <v>32</v>
      </c>
      <c r="AB416" t="n">
        <v>3</v>
      </c>
      <c r="AC416" t="n">
        <v>3</v>
      </c>
      <c r="AD416" t="n">
        <v>2</v>
      </c>
      <c r="AE416" t="n">
        <v>3</v>
      </c>
      <c r="AF416" t="n">
        <v>0</v>
      </c>
      <c r="AG416" t="n">
        <v>0</v>
      </c>
      <c r="AH416" t="n">
        <v>0</v>
      </c>
      <c r="AI416" t="n">
        <v>0</v>
      </c>
      <c r="AJ416" t="n">
        <v>0</v>
      </c>
      <c r="AK416" t="n">
        <v>1</v>
      </c>
      <c r="AL416" t="n">
        <v>2</v>
      </c>
      <c r="AM416" t="n">
        <v>2</v>
      </c>
      <c r="AN416" t="n">
        <v>0</v>
      </c>
      <c r="AO416" t="n">
        <v>0</v>
      </c>
      <c r="AP416" t="inlineStr">
        <is>
          <t>No</t>
        </is>
      </c>
      <c r="AQ416" t="inlineStr">
        <is>
          <t>Yes</t>
        </is>
      </c>
      <c r="AR416">
        <f>HYPERLINK("http://catalog.hathitrust.org/Record/009218720","HathiTrust Record")</f>
        <v/>
      </c>
      <c r="AS416">
        <f>HYPERLINK("https://creighton-primo.hosted.exlibrisgroup.com/primo-explore/search?tab=default_tab&amp;search_scope=EVERYTHING&amp;vid=01CRU&amp;lang=en_US&amp;offset=0&amp;query=any,contains,991005372079702656","Catalog Record")</f>
        <v/>
      </c>
      <c r="AT416">
        <f>HYPERLINK("http://www.worldcat.org/oclc/4059610","WorldCat Record")</f>
        <v/>
      </c>
      <c r="AU416" t="inlineStr">
        <is>
          <t>4915812513:eng</t>
        </is>
      </c>
      <c r="AV416" t="inlineStr">
        <is>
          <t>4059610</t>
        </is>
      </c>
      <c r="AW416" t="inlineStr">
        <is>
          <t>991005372079702656</t>
        </is>
      </c>
      <c r="AX416" t="inlineStr">
        <is>
          <t>991005372079702656</t>
        </is>
      </c>
      <c r="AY416" t="inlineStr">
        <is>
          <t>2270730480002656</t>
        </is>
      </c>
      <c r="AZ416" t="inlineStr">
        <is>
          <t>BOOK</t>
        </is>
      </c>
      <c r="BB416" t="inlineStr">
        <is>
          <t>9780387932958</t>
        </is>
      </c>
      <c r="BC416" t="inlineStr">
        <is>
          <t>32285002792363</t>
        </is>
      </c>
      <c r="BD416" t="inlineStr">
        <is>
          <t>893808312</t>
        </is>
      </c>
    </row>
    <row r="417">
      <c r="A417" t="inlineStr">
        <is>
          <t>No</t>
        </is>
      </c>
      <c r="B417" t="inlineStr">
        <is>
          <t>QD151 .G526</t>
        </is>
      </c>
      <c r="C417" t="inlineStr">
        <is>
          <t>0                      QD 0151000G  526</t>
        </is>
      </c>
      <c r="D417" t="inlineStr">
        <is>
          <t>Gmelins Handbuch der anorganischen chemie.</t>
        </is>
      </c>
      <c r="E417" t="inlineStr">
        <is>
          <t>V.5</t>
        </is>
      </c>
      <c r="F417" t="inlineStr">
        <is>
          <t>Yes</t>
        </is>
      </c>
      <c r="G417" t="inlineStr">
        <is>
          <t>1</t>
        </is>
      </c>
      <c r="H417" t="inlineStr">
        <is>
          <t>No</t>
        </is>
      </c>
      <c r="I417" t="inlineStr">
        <is>
          <t>No</t>
        </is>
      </c>
      <c r="J417" t="inlineStr">
        <is>
          <t>0</t>
        </is>
      </c>
      <c r="L417" t="inlineStr">
        <is>
          <t>Berlin ; New York : Springer-Verlag, 1975-</t>
        </is>
      </c>
      <c r="M417" t="inlineStr">
        <is>
          <t>1975</t>
        </is>
      </c>
      <c r="N417" t="inlineStr">
        <is>
          <t>8. Aufl. Hrsg. von der Deutschen Chemischen Gesellschaft, bearb. von R. J. Meyer, unter beratender Mitwirkung von Franz Peters. Index : formula index.</t>
        </is>
      </c>
      <c r="O417" t="inlineStr">
        <is>
          <t>eng</t>
        </is>
      </c>
      <c r="P417" t="inlineStr">
        <is>
          <t xml:space="preserve">gw </t>
        </is>
      </c>
      <c r="R417" t="inlineStr">
        <is>
          <t xml:space="preserve">QD </t>
        </is>
      </c>
      <c r="S417" t="n">
        <v>1</v>
      </c>
      <c r="T417" t="n">
        <v>9</v>
      </c>
      <c r="U417" t="inlineStr">
        <is>
          <t>1998-07-27</t>
        </is>
      </c>
      <c r="V417" t="inlineStr">
        <is>
          <t>1998-07-27</t>
        </is>
      </c>
      <c r="W417" t="inlineStr">
        <is>
          <t>1997-06-09</t>
        </is>
      </c>
      <c r="X417" t="inlineStr">
        <is>
          <t>1997-06-09</t>
        </is>
      </c>
      <c r="Y417" t="n">
        <v>34</v>
      </c>
      <c r="Z417" t="n">
        <v>29</v>
      </c>
      <c r="AA417" t="n">
        <v>32</v>
      </c>
      <c r="AB417" t="n">
        <v>3</v>
      </c>
      <c r="AC417" t="n">
        <v>3</v>
      </c>
      <c r="AD417" t="n">
        <v>2</v>
      </c>
      <c r="AE417" t="n">
        <v>3</v>
      </c>
      <c r="AF417" t="n">
        <v>0</v>
      </c>
      <c r="AG417" t="n">
        <v>0</v>
      </c>
      <c r="AH417" t="n">
        <v>0</v>
      </c>
      <c r="AI417" t="n">
        <v>0</v>
      </c>
      <c r="AJ417" t="n">
        <v>0</v>
      </c>
      <c r="AK417" t="n">
        <v>1</v>
      </c>
      <c r="AL417" t="n">
        <v>2</v>
      </c>
      <c r="AM417" t="n">
        <v>2</v>
      </c>
      <c r="AN417" t="n">
        <v>0</v>
      </c>
      <c r="AO417" t="n">
        <v>0</v>
      </c>
      <c r="AP417" t="inlineStr">
        <is>
          <t>No</t>
        </is>
      </c>
      <c r="AQ417" t="inlineStr">
        <is>
          <t>Yes</t>
        </is>
      </c>
      <c r="AR417">
        <f>HYPERLINK("http://catalog.hathitrust.org/Record/009218720","HathiTrust Record")</f>
        <v/>
      </c>
      <c r="AS417">
        <f>HYPERLINK("https://creighton-primo.hosted.exlibrisgroup.com/primo-explore/search?tab=default_tab&amp;search_scope=EVERYTHING&amp;vid=01CRU&amp;lang=en_US&amp;offset=0&amp;query=any,contains,991005372079702656","Catalog Record")</f>
        <v/>
      </c>
      <c r="AT417">
        <f>HYPERLINK("http://www.worldcat.org/oclc/4059610","WorldCat Record")</f>
        <v/>
      </c>
      <c r="AU417" t="inlineStr">
        <is>
          <t>4915812513:eng</t>
        </is>
      </c>
      <c r="AV417" t="inlineStr">
        <is>
          <t>4059610</t>
        </is>
      </c>
      <c r="AW417" t="inlineStr">
        <is>
          <t>991005372079702656</t>
        </is>
      </c>
      <c r="AX417" t="inlineStr">
        <is>
          <t>991005372079702656</t>
        </is>
      </c>
      <c r="AY417" t="inlineStr">
        <is>
          <t>2270730480002656</t>
        </is>
      </c>
      <c r="AZ417" t="inlineStr">
        <is>
          <t>BOOK</t>
        </is>
      </c>
      <c r="BB417" t="inlineStr">
        <is>
          <t>9780387932958</t>
        </is>
      </c>
      <c r="BC417" t="inlineStr">
        <is>
          <t>32285002792371</t>
        </is>
      </c>
      <c r="BD417" t="inlineStr">
        <is>
          <t>893777346</t>
        </is>
      </c>
    </row>
    <row r="418">
      <c r="A418" t="inlineStr">
        <is>
          <t>No</t>
        </is>
      </c>
      <c r="B418" t="inlineStr">
        <is>
          <t>QD151 .G526</t>
        </is>
      </c>
      <c r="C418" t="inlineStr">
        <is>
          <t>0                      QD 0151000G  526</t>
        </is>
      </c>
      <c r="D418" t="inlineStr">
        <is>
          <t>Gmelins Handbuch der anorganischen chemie.</t>
        </is>
      </c>
      <c r="E418" t="inlineStr">
        <is>
          <t>V.1</t>
        </is>
      </c>
      <c r="F418" t="inlineStr">
        <is>
          <t>Yes</t>
        </is>
      </c>
      <c r="G418" t="inlineStr">
        <is>
          <t>1</t>
        </is>
      </c>
      <c r="H418" t="inlineStr">
        <is>
          <t>No</t>
        </is>
      </c>
      <c r="I418" t="inlineStr">
        <is>
          <t>No</t>
        </is>
      </c>
      <c r="J418" t="inlineStr">
        <is>
          <t>0</t>
        </is>
      </c>
      <c r="L418" t="inlineStr">
        <is>
          <t>Berlin ; New York : Springer-Verlag, 1975-</t>
        </is>
      </c>
      <c r="M418" t="inlineStr">
        <is>
          <t>1975</t>
        </is>
      </c>
      <c r="N418" t="inlineStr">
        <is>
          <t>8. Aufl. Hrsg. von der Deutschen Chemischen Gesellschaft, bearb. von R. J. Meyer, unter beratender Mitwirkung von Franz Peters. Index : formula index.</t>
        </is>
      </c>
      <c r="O418" t="inlineStr">
        <is>
          <t>eng</t>
        </is>
      </c>
      <c r="P418" t="inlineStr">
        <is>
          <t xml:space="preserve">gw </t>
        </is>
      </c>
      <c r="R418" t="inlineStr">
        <is>
          <t xml:space="preserve">QD </t>
        </is>
      </c>
      <c r="S418" t="n">
        <v>1</v>
      </c>
      <c r="T418" t="n">
        <v>9</v>
      </c>
      <c r="U418" t="inlineStr">
        <is>
          <t>1998-07-27</t>
        </is>
      </c>
      <c r="V418" t="inlineStr">
        <is>
          <t>1998-07-27</t>
        </is>
      </c>
      <c r="W418" t="inlineStr">
        <is>
          <t>1997-06-09</t>
        </is>
      </c>
      <c r="X418" t="inlineStr">
        <is>
          <t>1997-06-09</t>
        </is>
      </c>
      <c r="Y418" t="n">
        <v>34</v>
      </c>
      <c r="Z418" t="n">
        <v>29</v>
      </c>
      <c r="AA418" t="n">
        <v>32</v>
      </c>
      <c r="AB418" t="n">
        <v>3</v>
      </c>
      <c r="AC418" t="n">
        <v>3</v>
      </c>
      <c r="AD418" t="n">
        <v>2</v>
      </c>
      <c r="AE418" t="n">
        <v>3</v>
      </c>
      <c r="AF418" t="n">
        <v>0</v>
      </c>
      <c r="AG418" t="n">
        <v>0</v>
      </c>
      <c r="AH418" t="n">
        <v>0</v>
      </c>
      <c r="AI418" t="n">
        <v>0</v>
      </c>
      <c r="AJ418" t="n">
        <v>0</v>
      </c>
      <c r="AK418" t="n">
        <v>1</v>
      </c>
      <c r="AL418" t="n">
        <v>2</v>
      </c>
      <c r="AM418" t="n">
        <v>2</v>
      </c>
      <c r="AN418" t="n">
        <v>0</v>
      </c>
      <c r="AO418" t="n">
        <v>0</v>
      </c>
      <c r="AP418" t="inlineStr">
        <is>
          <t>No</t>
        </is>
      </c>
      <c r="AQ418" t="inlineStr">
        <is>
          <t>Yes</t>
        </is>
      </c>
      <c r="AR418">
        <f>HYPERLINK("http://catalog.hathitrust.org/Record/009218720","HathiTrust Record")</f>
        <v/>
      </c>
      <c r="AS418">
        <f>HYPERLINK("https://creighton-primo.hosted.exlibrisgroup.com/primo-explore/search?tab=default_tab&amp;search_scope=EVERYTHING&amp;vid=01CRU&amp;lang=en_US&amp;offset=0&amp;query=any,contains,991005372079702656","Catalog Record")</f>
        <v/>
      </c>
      <c r="AT418">
        <f>HYPERLINK("http://www.worldcat.org/oclc/4059610","WorldCat Record")</f>
        <v/>
      </c>
      <c r="AU418" t="inlineStr">
        <is>
          <t>4915812513:eng</t>
        </is>
      </c>
      <c r="AV418" t="inlineStr">
        <is>
          <t>4059610</t>
        </is>
      </c>
      <c r="AW418" t="inlineStr">
        <is>
          <t>991005372079702656</t>
        </is>
      </c>
      <c r="AX418" t="inlineStr">
        <is>
          <t>991005372079702656</t>
        </is>
      </c>
      <c r="AY418" t="inlineStr">
        <is>
          <t>2270730480002656</t>
        </is>
      </c>
      <c r="AZ418" t="inlineStr">
        <is>
          <t>BOOK</t>
        </is>
      </c>
      <c r="BB418" t="inlineStr">
        <is>
          <t>9780387932958</t>
        </is>
      </c>
      <c r="BC418" t="inlineStr">
        <is>
          <t>32285002792330</t>
        </is>
      </c>
      <c r="BD418" t="inlineStr">
        <is>
          <t>893802204</t>
        </is>
      </c>
    </row>
    <row r="419">
      <c r="A419" t="inlineStr">
        <is>
          <t>No</t>
        </is>
      </c>
      <c r="B419" t="inlineStr">
        <is>
          <t>QD151 .L3 1951</t>
        </is>
      </c>
      <c r="C419" t="inlineStr">
        <is>
          <t>0                      QD 0151000L  3           1951</t>
        </is>
      </c>
      <c r="D419" t="inlineStr">
        <is>
          <t>Reference book of inorganic chemistry / by Wendell M. Latimer and Joel H. Hildebrand.</t>
        </is>
      </c>
      <c r="F419" t="inlineStr">
        <is>
          <t>No</t>
        </is>
      </c>
      <c r="G419" t="inlineStr">
        <is>
          <t>1</t>
        </is>
      </c>
      <c r="H419" t="inlineStr">
        <is>
          <t>No</t>
        </is>
      </c>
      <c r="I419" t="inlineStr">
        <is>
          <t>No</t>
        </is>
      </c>
      <c r="J419" t="inlineStr">
        <is>
          <t>0</t>
        </is>
      </c>
      <c r="K419" t="inlineStr">
        <is>
          <t>Latimer, Wendell M. (Wendell Mitchell), 1893-1955.</t>
        </is>
      </c>
      <c r="L419" t="inlineStr">
        <is>
          <t>New York : Macmillan, [1951]</t>
        </is>
      </c>
      <c r="M419" t="inlineStr">
        <is>
          <t>1951</t>
        </is>
      </c>
      <c r="N419" t="inlineStr">
        <is>
          <t>3d ed.</t>
        </is>
      </c>
      <c r="O419" t="inlineStr">
        <is>
          <t>eng</t>
        </is>
      </c>
      <c r="P419" t="inlineStr">
        <is>
          <t>nyu</t>
        </is>
      </c>
      <c r="R419" t="inlineStr">
        <is>
          <t xml:space="preserve">QD </t>
        </is>
      </c>
      <c r="S419" t="n">
        <v>1</v>
      </c>
      <c r="T419" t="n">
        <v>1</v>
      </c>
      <c r="U419" t="inlineStr">
        <is>
          <t>1994-11-21</t>
        </is>
      </c>
      <c r="V419" t="inlineStr">
        <is>
          <t>1994-11-21</t>
        </is>
      </c>
      <c r="W419" t="inlineStr">
        <is>
          <t>1994-11-02</t>
        </is>
      </c>
      <c r="X419" t="inlineStr">
        <is>
          <t>1994-11-02</t>
        </is>
      </c>
      <c r="Y419" t="n">
        <v>477</v>
      </c>
      <c r="Z419" t="n">
        <v>422</v>
      </c>
      <c r="AA419" t="n">
        <v>424</v>
      </c>
      <c r="AB419" t="n">
        <v>5</v>
      </c>
      <c r="AC419" t="n">
        <v>5</v>
      </c>
      <c r="AD419" t="n">
        <v>16</v>
      </c>
      <c r="AE419" t="n">
        <v>16</v>
      </c>
      <c r="AF419" t="n">
        <v>4</v>
      </c>
      <c r="AG419" t="n">
        <v>4</v>
      </c>
      <c r="AH419" t="n">
        <v>4</v>
      </c>
      <c r="AI419" t="n">
        <v>4</v>
      </c>
      <c r="AJ419" t="n">
        <v>9</v>
      </c>
      <c r="AK419" t="n">
        <v>9</v>
      </c>
      <c r="AL419" t="n">
        <v>4</v>
      </c>
      <c r="AM419" t="n">
        <v>4</v>
      </c>
      <c r="AN419" t="n">
        <v>0</v>
      </c>
      <c r="AO419" t="n">
        <v>0</v>
      </c>
      <c r="AP419" t="inlineStr">
        <is>
          <t>No</t>
        </is>
      </c>
      <c r="AQ419" t="inlineStr">
        <is>
          <t>Yes</t>
        </is>
      </c>
      <c r="AR419">
        <f>HYPERLINK("http://catalog.hathitrust.org/Record/001113553","HathiTrust Record")</f>
        <v/>
      </c>
      <c r="AS419">
        <f>HYPERLINK("https://creighton-primo.hosted.exlibrisgroup.com/primo-explore/search?tab=default_tab&amp;search_scope=EVERYTHING&amp;vid=01CRU&amp;lang=en_US&amp;offset=0&amp;query=any,contains,991001022119702656","Catalog Record")</f>
        <v/>
      </c>
      <c r="AT419">
        <f>HYPERLINK("http://www.worldcat.org/oclc/173984","WorldCat Record")</f>
        <v/>
      </c>
      <c r="AU419" t="inlineStr">
        <is>
          <t>1304629:eng</t>
        </is>
      </c>
      <c r="AV419" t="inlineStr">
        <is>
          <t>173984</t>
        </is>
      </c>
      <c r="AW419" t="inlineStr">
        <is>
          <t>991001022119702656</t>
        </is>
      </c>
      <c r="AX419" t="inlineStr">
        <is>
          <t>991001022119702656</t>
        </is>
      </c>
      <c r="AY419" t="inlineStr">
        <is>
          <t>2268470450002656</t>
        </is>
      </c>
      <c r="AZ419" t="inlineStr">
        <is>
          <t>BOOK</t>
        </is>
      </c>
      <c r="BC419" t="inlineStr">
        <is>
          <t>32285001963965</t>
        </is>
      </c>
      <c r="BD419" t="inlineStr">
        <is>
          <t>893413886</t>
        </is>
      </c>
    </row>
    <row r="420">
      <c r="A420" t="inlineStr">
        <is>
          <t>No</t>
        </is>
      </c>
      <c r="B420" t="inlineStr">
        <is>
          <t>QD151 .M16 1974</t>
        </is>
      </c>
      <c r="C420" t="inlineStr">
        <is>
          <t>0                      QD 0151000M  16          1974</t>
        </is>
      </c>
      <c r="D420" t="inlineStr">
        <is>
          <t>Introduction to modern inorganic chemistry / [by] K. M. Mackay and R. Ann Mackay.</t>
        </is>
      </c>
      <c r="F420" t="inlineStr">
        <is>
          <t>No</t>
        </is>
      </c>
      <c r="G420" t="inlineStr">
        <is>
          <t>1</t>
        </is>
      </c>
      <c r="H420" t="inlineStr">
        <is>
          <t>No</t>
        </is>
      </c>
      <c r="I420" t="inlineStr">
        <is>
          <t>No</t>
        </is>
      </c>
      <c r="J420" t="inlineStr">
        <is>
          <t>0</t>
        </is>
      </c>
      <c r="K420" t="inlineStr">
        <is>
          <t>Mackay, K. M. (Kenneth Malcolm)</t>
        </is>
      </c>
      <c r="L420" t="inlineStr">
        <is>
          <t>New York : Intext Educational Publishers, [1974, c1973]</t>
        </is>
      </c>
      <c r="M420" t="inlineStr">
        <is>
          <t>1974</t>
        </is>
      </c>
      <c r="N420" t="inlineStr">
        <is>
          <t>2d ed.</t>
        </is>
      </c>
      <c r="O420" t="inlineStr">
        <is>
          <t>eng</t>
        </is>
      </c>
      <c r="P420" t="inlineStr">
        <is>
          <t xml:space="preserve">xx </t>
        </is>
      </c>
      <c r="R420" t="inlineStr">
        <is>
          <t xml:space="preserve">QD </t>
        </is>
      </c>
      <c r="S420" t="n">
        <v>4</v>
      </c>
      <c r="T420" t="n">
        <v>4</v>
      </c>
      <c r="U420" t="inlineStr">
        <is>
          <t>2004-11-18</t>
        </is>
      </c>
      <c r="V420" t="inlineStr">
        <is>
          <t>2004-11-18</t>
        </is>
      </c>
      <c r="W420" t="inlineStr">
        <is>
          <t>1995-01-14</t>
        </is>
      </c>
      <c r="X420" t="inlineStr">
        <is>
          <t>1995-01-14</t>
        </is>
      </c>
      <c r="Y420" t="n">
        <v>82</v>
      </c>
      <c r="Z420" t="n">
        <v>72</v>
      </c>
      <c r="AA420" t="n">
        <v>439</v>
      </c>
      <c r="AB420" t="n">
        <v>1</v>
      </c>
      <c r="AC420" t="n">
        <v>5</v>
      </c>
      <c r="AD420" t="n">
        <v>4</v>
      </c>
      <c r="AE420" t="n">
        <v>25</v>
      </c>
      <c r="AF420" t="n">
        <v>2</v>
      </c>
      <c r="AG420" t="n">
        <v>8</v>
      </c>
      <c r="AH420" t="n">
        <v>1</v>
      </c>
      <c r="AI420" t="n">
        <v>3</v>
      </c>
      <c r="AJ420" t="n">
        <v>2</v>
      </c>
      <c r="AK420" t="n">
        <v>15</v>
      </c>
      <c r="AL420" t="n">
        <v>0</v>
      </c>
      <c r="AM420" t="n">
        <v>4</v>
      </c>
      <c r="AN420" t="n">
        <v>0</v>
      </c>
      <c r="AO420" t="n">
        <v>0</v>
      </c>
      <c r="AP420" t="inlineStr">
        <is>
          <t>No</t>
        </is>
      </c>
      <c r="AQ420" t="inlineStr">
        <is>
          <t>No</t>
        </is>
      </c>
      <c r="AS420">
        <f>HYPERLINK("https://creighton-primo.hosted.exlibrisgroup.com/primo-explore/search?tab=default_tab&amp;search_scope=EVERYTHING&amp;vid=01CRU&amp;lang=en_US&amp;offset=0&amp;query=any,contains,991003573449702656","Catalog Record")</f>
        <v/>
      </c>
      <c r="AT420">
        <f>HYPERLINK("http://www.worldcat.org/oclc/1149149","WorldCat Record")</f>
        <v/>
      </c>
      <c r="AU420" t="inlineStr">
        <is>
          <t>4714440461:eng</t>
        </is>
      </c>
      <c r="AV420" t="inlineStr">
        <is>
          <t>1149149</t>
        </is>
      </c>
      <c r="AW420" t="inlineStr">
        <is>
          <t>991003573449702656</t>
        </is>
      </c>
      <c r="AX420" t="inlineStr">
        <is>
          <t>991003573449702656</t>
        </is>
      </c>
      <c r="AY420" t="inlineStr">
        <is>
          <t>2261687370002656</t>
        </is>
      </c>
      <c r="AZ420" t="inlineStr">
        <is>
          <t>BOOK</t>
        </is>
      </c>
      <c r="BB420" t="inlineStr">
        <is>
          <t>9780700200511</t>
        </is>
      </c>
      <c r="BC420" t="inlineStr">
        <is>
          <t>32285001986693</t>
        </is>
      </c>
      <c r="BD420" t="inlineStr">
        <is>
          <t>893604925</t>
        </is>
      </c>
    </row>
    <row r="421">
      <c r="A421" t="inlineStr">
        <is>
          <t>No</t>
        </is>
      </c>
      <c r="B421" t="inlineStr">
        <is>
          <t>QD151 .P3 1950</t>
        </is>
      </c>
      <c r="C421" t="inlineStr">
        <is>
          <t>0                      QD 0151000P  3           1950</t>
        </is>
      </c>
      <c r="D421" t="inlineStr">
        <is>
          <t>A text-book of inorganic chemistry / by J.R. Partington.</t>
        </is>
      </c>
      <c r="F421" t="inlineStr">
        <is>
          <t>No</t>
        </is>
      </c>
      <c r="G421" t="inlineStr">
        <is>
          <t>1</t>
        </is>
      </c>
      <c r="H421" t="inlineStr">
        <is>
          <t>No</t>
        </is>
      </c>
      <c r="I421" t="inlineStr">
        <is>
          <t>No</t>
        </is>
      </c>
      <c r="J421" t="inlineStr">
        <is>
          <t>0</t>
        </is>
      </c>
      <c r="K421" t="inlineStr">
        <is>
          <t>Partington, J. R. (James Riddick), 1886-1965.</t>
        </is>
      </c>
      <c r="L421" t="inlineStr">
        <is>
          <t>London : Macmillan, 1950.</t>
        </is>
      </c>
      <c r="M421" t="inlineStr">
        <is>
          <t>1950</t>
        </is>
      </c>
      <c r="N421" t="inlineStr">
        <is>
          <t>6th ed.</t>
        </is>
      </c>
      <c r="O421" t="inlineStr">
        <is>
          <t>eng</t>
        </is>
      </c>
      <c r="P421" t="inlineStr">
        <is>
          <t>enk</t>
        </is>
      </c>
      <c r="R421" t="inlineStr">
        <is>
          <t xml:space="preserve">QD </t>
        </is>
      </c>
      <c r="S421" t="n">
        <v>3</v>
      </c>
      <c r="T421" t="n">
        <v>3</v>
      </c>
      <c r="U421" t="inlineStr">
        <is>
          <t>2001-10-08</t>
        </is>
      </c>
      <c r="V421" t="inlineStr">
        <is>
          <t>2001-10-08</t>
        </is>
      </c>
      <c r="W421" t="inlineStr">
        <is>
          <t>1995-08-24</t>
        </is>
      </c>
      <c r="X421" t="inlineStr">
        <is>
          <t>1995-08-24</t>
        </is>
      </c>
      <c r="Y421" t="n">
        <v>202</v>
      </c>
      <c r="Z421" t="n">
        <v>152</v>
      </c>
      <c r="AA421" t="n">
        <v>244</v>
      </c>
      <c r="AB421" t="n">
        <v>1</v>
      </c>
      <c r="AC421" t="n">
        <v>2</v>
      </c>
      <c r="AD421" t="n">
        <v>5</v>
      </c>
      <c r="AE421" t="n">
        <v>9</v>
      </c>
      <c r="AF421" t="n">
        <v>2</v>
      </c>
      <c r="AG421" t="n">
        <v>3</v>
      </c>
      <c r="AH421" t="n">
        <v>1</v>
      </c>
      <c r="AI421" t="n">
        <v>2</v>
      </c>
      <c r="AJ421" t="n">
        <v>2</v>
      </c>
      <c r="AK421" t="n">
        <v>3</v>
      </c>
      <c r="AL421" t="n">
        <v>0</v>
      </c>
      <c r="AM421" t="n">
        <v>1</v>
      </c>
      <c r="AN421" t="n">
        <v>0</v>
      </c>
      <c r="AO421" t="n">
        <v>0</v>
      </c>
      <c r="AP421" t="inlineStr">
        <is>
          <t>No</t>
        </is>
      </c>
      <c r="AQ421" t="inlineStr">
        <is>
          <t>Yes</t>
        </is>
      </c>
      <c r="AR421">
        <f>HYPERLINK("http://catalog.hathitrust.org/Record/001032967","HathiTrust Record")</f>
        <v/>
      </c>
      <c r="AS421">
        <f>HYPERLINK("https://creighton-primo.hosted.exlibrisgroup.com/primo-explore/search?tab=default_tab&amp;search_scope=EVERYTHING&amp;vid=01CRU&amp;lang=en_US&amp;offset=0&amp;query=any,contains,991003262859702656","Catalog Record")</f>
        <v/>
      </c>
      <c r="AT421">
        <f>HYPERLINK("http://www.worldcat.org/oclc/789086","WorldCat Record")</f>
        <v/>
      </c>
      <c r="AU421" t="inlineStr">
        <is>
          <t>1729611:eng</t>
        </is>
      </c>
      <c r="AV421" t="inlineStr">
        <is>
          <t>789086</t>
        </is>
      </c>
      <c r="AW421" t="inlineStr">
        <is>
          <t>991003262859702656</t>
        </is>
      </c>
      <c r="AX421" t="inlineStr">
        <is>
          <t>991003262859702656</t>
        </is>
      </c>
      <c r="AY421" t="inlineStr">
        <is>
          <t>2264277200002656</t>
        </is>
      </c>
      <c r="AZ421" t="inlineStr">
        <is>
          <t>BOOK</t>
        </is>
      </c>
      <c r="BC421" t="inlineStr">
        <is>
          <t>32285001953081</t>
        </is>
      </c>
      <c r="BD421" t="inlineStr">
        <is>
          <t>893604597</t>
        </is>
      </c>
    </row>
    <row r="422">
      <c r="A422" t="inlineStr">
        <is>
          <t>No</t>
        </is>
      </c>
      <c r="B422" t="inlineStr">
        <is>
          <t>QD151 .R4</t>
        </is>
      </c>
      <c r="C422" t="inlineStr">
        <is>
          <t>0                      QD 0151000R  4</t>
        </is>
      </c>
      <c r="D422" t="inlineStr">
        <is>
          <t>Inorganic chemistry / by Ira Remsen.</t>
        </is>
      </c>
      <c r="F422" t="inlineStr">
        <is>
          <t>No</t>
        </is>
      </c>
      <c r="G422" t="inlineStr">
        <is>
          <t>1</t>
        </is>
      </c>
      <c r="H422" t="inlineStr">
        <is>
          <t>No</t>
        </is>
      </c>
      <c r="I422" t="inlineStr">
        <is>
          <t>No</t>
        </is>
      </c>
      <c r="J422" t="inlineStr">
        <is>
          <t>0</t>
        </is>
      </c>
      <c r="K422" t="inlineStr">
        <is>
          <t>Remsen, Ira, 1846-1927.</t>
        </is>
      </c>
      <c r="L422" t="inlineStr">
        <is>
          <t>New York : H. Holt and Company, 1898.</t>
        </is>
      </c>
      <c r="M422" t="inlineStr">
        <is>
          <t>1898</t>
        </is>
      </c>
      <c r="N422" t="inlineStr">
        <is>
          <t>5th ed., rev.</t>
        </is>
      </c>
      <c r="O422" t="inlineStr">
        <is>
          <t>eng</t>
        </is>
      </c>
      <c r="P422" t="inlineStr">
        <is>
          <t>nyu</t>
        </is>
      </c>
      <c r="Q422" t="inlineStr">
        <is>
          <t>American science series. Advanced course</t>
        </is>
      </c>
      <c r="R422" t="inlineStr">
        <is>
          <t xml:space="preserve">QD </t>
        </is>
      </c>
      <c r="S422" t="n">
        <v>1</v>
      </c>
      <c r="T422" t="n">
        <v>1</v>
      </c>
      <c r="U422" t="inlineStr">
        <is>
          <t>2009-04-15</t>
        </is>
      </c>
      <c r="V422" t="inlineStr">
        <is>
          <t>2009-04-15</t>
        </is>
      </c>
      <c r="W422" t="inlineStr">
        <is>
          <t>1994-12-16</t>
        </is>
      </c>
      <c r="X422" t="inlineStr">
        <is>
          <t>1994-12-16</t>
        </is>
      </c>
      <c r="Y422" t="n">
        <v>66</v>
      </c>
      <c r="Z422" t="n">
        <v>60</v>
      </c>
      <c r="AA422" t="n">
        <v>161</v>
      </c>
      <c r="AB422" t="n">
        <v>1</v>
      </c>
      <c r="AC422" t="n">
        <v>2</v>
      </c>
      <c r="AD422" t="n">
        <v>3</v>
      </c>
      <c r="AE422" t="n">
        <v>7</v>
      </c>
      <c r="AF422" t="n">
        <v>1</v>
      </c>
      <c r="AG422" t="n">
        <v>2</v>
      </c>
      <c r="AH422" t="n">
        <v>1</v>
      </c>
      <c r="AI422" t="n">
        <v>2</v>
      </c>
      <c r="AJ422" t="n">
        <v>1</v>
      </c>
      <c r="AK422" t="n">
        <v>2</v>
      </c>
      <c r="AL422" t="n">
        <v>0</v>
      </c>
      <c r="AM422" t="n">
        <v>1</v>
      </c>
      <c r="AN422" t="n">
        <v>0</v>
      </c>
      <c r="AO422" t="n">
        <v>0</v>
      </c>
      <c r="AP422" t="inlineStr">
        <is>
          <t>Yes</t>
        </is>
      </c>
      <c r="AQ422" t="inlineStr">
        <is>
          <t>No</t>
        </is>
      </c>
      <c r="AR422">
        <f>HYPERLINK("http://catalog.hathitrust.org/Record/001419980","HathiTrust Record")</f>
        <v/>
      </c>
      <c r="AS422">
        <f>HYPERLINK("https://creighton-primo.hosted.exlibrisgroup.com/primo-explore/search?tab=default_tab&amp;search_scope=EVERYTHING&amp;vid=01CRU&amp;lang=en_US&amp;offset=0&amp;query=any,contains,991003017619702656","Catalog Record")</f>
        <v/>
      </c>
      <c r="AT422">
        <f>HYPERLINK("http://www.worldcat.org/oclc/582215","WorldCat Record")</f>
        <v/>
      </c>
      <c r="AU422" t="inlineStr">
        <is>
          <t>2452529943:eng</t>
        </is>
      </c>
      <c r="AV422" t="inlineStr">
        <is>
          <t>582215</t>
        </is>
      </c>
      <c r="AW422" t="inlineStr">
        <is>
          <t>991003017619702656</t>
        </is>
      </c>
      <c r="AX422" t="inlineStr">
        <is>
          <t>991003017619702656</t>
        </is>
      </c>
      <c r="AY422" t="inlineStr">
        <is>
          <t>2271788170002656</t>
        </is>
      </c>
      <c r="AZ422" t="inlineStr">
        <is>
          <t>BOOK</t>
        </is>
      </c>
      <c r="BC422" t="inlineStr">
        <is>
          <t>32285001983427</t>
        </is>
      </c>
      <c r="BD422" t="inlineStr">
        <is>
          <t>893874330</t>
        </is>
      </c>
    </row>
    <row r="423">
      <c r="A423" t="inlineStr">
        <is>
          <t>No</t>
        </is>
      </c>
      <c r="B423" t="inlineStr">
        <is>
          <t>QD151 .S69 v...</t>
        </is>
      </c>
      <c r="C423" t="inlineStr">
        <is>
          <t>0                      QD 0151000S  69                                                      v...</t>
        </is>
      </c>
      <c r="D423" t="inlineStr">
        <is>
          <t>Comprehensive inorganic chemistry / [edited by] M. Cannon Sneed, J. Lewis Maynard [and] Robert C. Brasted.</t>
        </is>
      </c>
      <c r="E423" t="inlineStr">
        <is>
          <t>V.3</t>
        </is>
      </c>
      <c r="F423" t="inlineStr">
        <is>
          <t>Yes</t>
        </is>
      </c>
      <c r="G423" t="inlineStr">
        <is>
          <t>1</t>
        </is>
      </c>
      <c r="H423" t="inlineStr">
        <is>
          <t>No</t>
        </is>
      </c>
      <c r="I423" t="inlineStr">
        <is>
          <t>No</t>
        </is>
      </c>
      <c r="J423" t="inlineStr">
        <is>
          <t>0</t>
        </is>
      </c>
      <c r="K423" t="inlineStr">
        <is>
          <t>Sneed, M. Cannon (Mayce Cannon), 1886-, editor.</t>
        </is>
      </c>
      <c r="L423" t="inlineStr">
        <is>
          <t>New York : Van Nostrand, [1953-</t>
        </is>
      </c>
      <c r="M423" t="inlineStr">
        <is>
          <t>1953</t>
        </is>
      </c>
      <c r="O423" t="inlineStr">
        <is>
          <t>eng</t>
        </is>
      </c>
      <c r="P423" t="inlineStr">
        <is>
          <t>nyu</t>
        </is>
      </c>
      <c r="R423" t="inlineStr">
        <is>
          <t xml:space="preserve">QD </t>
        </is>
      </c>
      <c r="S423" t="n">
        <v>2</v>
      </c>
      <c r="T423" t="n">
        <v>14</v>
      </c>
      <c r="U423" t="inlineStr">
        <is>
          <t>1994-11-27</t>
        </is>
      </c>
      <c r="V423" t="inlineStr">
        <is>
          <t>1994-12-07</t>
        </is>
      </c>
      <c r="W423" t="inlineStr">
        <is>
          <t>1993-10-06</t>
        </is>
      </c>
      <c r="X423" t="inlineStr">
        <is>
          <t>1993-10-06</t>
        </is>
      </c>
      <c r="Y423" t="n">
        <v>806</v>
      </c>
      <c r="Z423" t="n">
        <v>710</v>
      </c>
      <c r="AA423" t="n">
        <v>724</v>
      </c>
      <c r="AB423" t="n">
        <v>9</v>
      </c>
      <c r="AC423" t="n">
        <v>9</v>
      </c>
      <c r="AD423" t="n">
        <v>38</v>
      </c>
      <c r="AE423" t="n">
        <v>38</v>
      </c>
      <c r="AF423" t="n">
        <v>16</v>
      </c>
      <c r="AG423" t="n">
        <v>16</v>
      </c>
      <c r="AH423" t="n">
        <v>5</v>
      </c>
      <c r="AI423" t="n">
        <v>5</v>
      </c>
      <c r="AJ423" t="n">
        <v>19</v>
      </c>
      <c r="AK423" t="n">
        <v>19</v>
      </c>
      <c r="AL423" t="n">
        <v>8</v>
      </c>
      <c r="AM423" t="n">
        <v>8</v>
      </c>
      <c r="AN423" t="n">
        <v>0</v>
      </c>
      <c r="AO423" t="n">
        <v>0</v>
      </c>
      <c r="AP423" t="inlineStr">
        <is>
          <t>Yes</t>
        </is>
      </c>
      <c r="AQ423" t="inlineStr">
        <is>
          <t>Yes</t>
        </is>
      </c>
      <c r="AR423">
        <f>HYPERLINK("http://catalog.hathitrust.org/Record/000773323","HathiTrust Record")</f>
        <v/>
      </c>
      <c r="AS423">
        <f>HYPERLINK("https://creighton-primo.hosted.exlibrisgroup.com/primo-explore/search?tab=default_tab&amp;search_scope=EVERYTHING&amp;vid=01CRU&amp;lang=en_US&amp;offset=0&amp;query=any,contains,991002305299702656","Catalog Record")</f>
        <v/>
      </c>
      <c r="AT423">
        <f>HYPERLINK("http://www.worldcat.org/oclc/318095","WorldCat Record")</f>
        <v/>
      </c>
      <c r="AU423" t="inlineStr">
        <is>
          <t>8908694333:eng</t>
        </is>
      </c>
      <c r="AV423" t="inlineStr">
        <is>
          <t>318095</t>
        </is>
      </c>
      <c r="AW423" t="inlineStr">
        <is>
          <t>991002305299702656</t>
        </is>
      </c>
      <c r="AX423" t="inlineStr">
        <is>
          <t>991002305299702656</t>
        </is>
      </c>
      <c r="AY423" t="inlineStr">
        <is>
          <t>2267029550002656</t>
        </is>
      </c>
      <c r="AZ423" t="inlineStr">
        <is>
          <t>BOOK</t>
        </is>
      </c>
      <c r="BC423" t="inlineStr">
        <is>
          <t>32285001773463</t>
        </is>
      </c>
      <c r="BD423" t="inlineStr">
        <is>
          <t>893341291</t>
        </is>
      </c>
    </row>
    <row r="424">
      <c r="A424" t="inlineStr">
        <is>
          <t>No</t>
        </is>
      </c>
      <c r="B424" t="inlineStr">
        <is>
          <t>QD151 .S69 v...</t>
        </is>
      </c>
      <c r="C424" t="inlineStr">
        <is>
          <t>0                      QD 0151000S  69                                                      v...</t>
        </is>
      </c>
      <c r="D424" t="inlineStr">
        <is>
          <t>Comprehensive inorganic chemistry / [edited by] M. Cannon Sneed, J. Lewis Maynard [and] Robert C. Brasted.</t>
        </is>
      </c>
      <c r="E424" t="inlineStr">
        <is>
          <t>V.4</t>
        </is>
      </c>
      <c r="F424" t="inlineStr">
        <is>
          <t>Yes</t>
        </is>
      </c>
      <c r="G424" t="inlineStr">
        <is>
          <t>1</t>
        </is>
      </c>
      <c r="H424" t="inlineStr">
        <is>
          <t>No</t>
        </is>
      </c>
      <c r="I424" t="inlineStr">
        <is>
          <t>No</t>
        </is>
      </c>
      <c r="J424" t="inlineStr">
        <is>
          <t>0</t>
        </is>
      </c>
      <c r="K424" t="inlineStr">
        <is>
          <t>Sneed, M. Cannon (Mayce Cannon), 1886-, editor.</t>
        </is>
      </c>
      <c r="L424" t="inlineStr">
        <is>
          <t>New York : Van Nostrand, [1953-</t>
        </is>
      </c>
      <c r="M424" t="inlineStr">
        <is>
          <t>1953</t>
        </is>
      </c>
      <c r="O424" t="inlineStr">
        <is>
          <t>eng</t>
        </is>
      </c>
      <c r="P424" t="inlineStr">
        <is>
          <t>nyu</t>
        </is>
      </c>
      <c r="R424" t="inlineStr">
        <is>
          <t xml:space="preserve">QD </t>
        </is>
      </c>
      <c r="S424" t="n">
        <v>1</v>
      </c>
      <c r="T424" t="n">
        <v>14</v>
      </c>
      <c r="U424" t="inlineStr">
        <is>
          <t>1994-11-21</t>
        </is>
      </c>
      <c r="V424" t="inlineStr">
        <is>
          <t>1994-12-07</t>
        </is>
      </c>
      <c r="W424" t="inlineStr">
        <is>
          <t>1993-03-02</t>
        </is>
      </c>
      <c r="X424" t="inlineStr">
        <is>
          <t>1993-10-06</t>
        </is>
      </c>
      <c r="Y424" t="n">
        <v>806</v>
      </c>
      <c r="Z424" t="n">
        <v>710</v>
      </c>
      <c r="AA424" t="n">
        <v>724</v>
      </c>
      <c r="AB424" t="n">
        <v>9</v>
      </c>
      <c r="AC424" t="n">
        <v>9</v>
      </c>
      <c r="AD424" t="n">
        <v>38</v>
      </c>
      <c r="AE424" t="n">
        <v>38</v>
      </c>
      <c r="AF424" t="n">
        <v>16</v>
      </c>
      <c r="AG424" t="n">
        <v>16</v>
      </c>
      <c r="AH424" t="n">
        <v>5</v>
      </c>
      <c r="AI424" t="n">
        <v>5</v>
      </c>
      <c r="AJ424" t="n">
        <v>19</v>
      </c>
      <c r="AK424" t="n">
        <v>19</v>
      </c>
      <c r="AL424" t="n">
        <v>8</v>
      </c>
      <c r="AM424" t="n">
        <v>8</v>
      </c>
      <c r="AN424" t="n">
        <v>0</v>
      </c>
      <c r="AO424" t="n">
        <v>0</v>
      </c>
      <c r="AP424" t="inlineStr">
        <is>
          <t>Yes</t>
        </is>
      </c>
      <c r="AQ424" t="inlineStr">
        <is>
          <t>Yes</t>
        </is>
      </c>
      <c r="AR424">
        <f>HYPERLINK("http://catalog.hathitrust.org/Record/000773323","HathiTrust Record")</f>
        <v/>
      </c>
      <c r="AS424">
        <f>HYPERLINK("https://creighton-primo.hosted.exlibrisgroup.com/primo-explore/search?tab=default_tab&amp;search_scope=EVERYTHING&amp;vid=01CRU&amp;lang=en_US&amp;offset=0&amp;query=any,contains,991002305299702656","Catalog Record")</f>
        <v/>
      </c>
      <c r="AT424">
        <f>HYPERLINK("http://www.worldcat.org/oclc/318095","WorldCat Record")</f>
        <v/>
      </c>
      <c r="AU424" t="inlineStr">
        <is>
          <t>8908694333:eng</t>
        </is>
      </c>
      <c r="AV424" t="inlineStr">
        <is>
          <t>318095</t>
        </is>
      </c>
      <c r="AW424" t="inlineStr">
        <is>
          <t>991002305299702656</t>
        </is>
      </c>
      <c r="AX424" t="inlineStr">
        <is>
          <t>991002305299702656</t>
        </is>
      </c>
      <c r="AY424" t="inlineStr">
        <is>
          <t>2267029550002656</t>
        </is>
      </c>
      <c r="AZ424" t="inlineStr">
        <is>
          <t>BOOK</t>
        </is>
      </c>
      <c r="BC424" t="inlineStr">
        <is>
          <t>32285001541407</t>
        </is>
      </c>
      <c r="BD424" t="inlineStr">
        <is>
          <t>893328916</t>
        </is>
      </c>
    </row>
    <row r="425">
      <c r="A425" t="inlineStr">
        <is>
          <t>No</t>
        </is>
      </c>
      <c r="B425" t="inlineStr">
        <is>
          <t>QD151 .S69 v...</t>
        </is>
      </c>
      <c r="C425" t="inlineStr">
        <is>
          <t>0                      QD 0151000S  69                                                      v...</t>
        </is>
      </c>
      <c r="D425" t="inlineStr">
        <is>
          <t>Comprehensive inorganic chemistry / [edited by] M. Cannon Sneed, J. Lewis Maynard [and] Robert C. Brasted.</t>
        </is>
      </c>
      <c r="E425" t="inlineStr">
        <is>
          <t>V.8</t>
        </is>
      </c>
      <c r="F425" t="inlineStr">
        <is>
          <t>Yes</t>
        </is>
      </c>
      <c r="G425" t="inlineStr">
        <is>
          <t>1</t>
        </is>
      </c>
      <c r="H425" t="inlineStr">
        <is>
          <t>No</t>
        </is>
      </c>
      <c r="I425" t="inlineStr">
        <is>
          <t>No</t>
        </is>
      </c>
      <c r="J425" t="inlineStr">
        <is>
          <t>0</t>
        </is>
      </c>
      <c r="K425" t="inlineStr">
        <is>
          <t>Sneed, M. Cannon (Mayce Cannon), 1886-, editor.</t>
        </is>
      </c>
      <c r="L425" t="inlineStr">
        <is>
          <t>New York : Van Nostrand, [1953-</t>
        </is>
      </c>
      <c r="M425" t="inlineStr">
        <is>
          <t>1953</t>
        </is>
      </c>
      <c r="O425" t="inlineStr">
        <is>
          <t>eng</t>
        </is>
      </c>
      <c r="P425" t="inlineStr">
        <is>
          <t>nyu</t>
        </is>
      </c>
      <c r="R425" t="inlineStr">
        <is>
          <t xml:space="preserve">QD </t>
        </is>
      </c>
      <c r="S425" t="n">
        <v>1</v>
      </c>
      <c r="T425" t="n">
        <v>14</v>
      </c>
      <c r="U425" t="inlineStr">
        <is>
          <t>1994-11-27</t>
        </is>
      </c>
      <c r="V425" t="inlineStr">
        <is>
          <t>1994-12-07</t>
        </is>
      </c>
      <c r="W425" t="inlineStr">
        <is>
          <t>1993-10-06</t>
        </is>
      </c>
      <c r="X425" t="inlineStr">
        <is>
          <t>1993-10-06</t>
        </is>
      </c>
      <c r="Y425" t="n">
        <v>806</v>
      </c>
      <c r="Z425" t="n">
        <v>710</v>
      </c>
      <c r="AA425" t="n">
        <v>724</v>
      </c>
      <c r="AB425" t="n">
        <v>9</v>
      </c>
      <c r="AC425" t="n">
        <v>9</v>
      </c>
      <c r="AD425" t="n">
        <v>38</v>
      </c>
      <c r="AE425" t="n">
        <v>38</v>
      </c>
      <c r="AF425" t="n">
        <v>16</v>
      </c>
      <c r="AG425" t="n">
        <v>16</v>
      </c>
      <c r="AH425" t="n">
        <v>5</v>
      </c>
      <c r="AI425" t="n">
        <v>5</v>
      </c>
      <c r="AJ425" t="n">
        <v>19</v>
      </c>
      <c r="AK425" t="n">
        <v>19</v>
      </c>
      <c r="AL425" t="n">
        <v>8</v>
      </c>
      <c r="AM425" t="n">
        <v>8</v>
      </c>
      <c r="AN425" t="n">
        <v>0</v>
      </c>
      <c r="AO425" t="n">
        <v>0</v>
      </c>
      <c r="AP425" t="inlineStr">
        <is>
          <t>Yes</t>
        </is>
      </c>
      <c r="AQ425" t="inlineStr">
        <is>
          <t>Yes</t>
        </is>
      </c>
      <c r="AR425">
        <f>HYPERLINK("http://catalog.hathitrust.org/Record/000773323","HathiTrust Record")</f>
        <v/>
      </c>
      <c r="AS425">
        <f>HYPERLINK("https://creighton-primo.hosted.exlibrisgroup.com/primo-explore/search?tab=default_tab&amp;search_scope=EVERYTHING&amp;vid=01CRU&amp;lang=en_US&amp;offset=0&amp;query=any,contains,991002305299702656","Catalog Record")</f>
        <v/>
      </c>
      <c r="AT425">
        <f>HYPERLINK("http://www.worldcat.org/oclc/318095","WorldCat Record")</f>
        <v/>
      </c>
      <c r="AU425" t="inlineStr">
        <is>
          <t>8908694333:eng</t>
        </is>
      </c>
      <c r="AV425" t="inlineStr">
        <is>
          <t>318095</t>
        </is>
      </c>
      <c r="AW425" t="inlineStr">
        <is>
          <t>991002305299702656</t>
        </is>
      </c>
      <c r="AX425" t="inlineStr">
        <is>
          <t>991002305299702656</t>
        </is>
      </c>
      <c r="AY425" t="inlineStr">
        <is>
          <t>2267029550002656</t>
        </is>
      </c>
      <c r="AZ425" t="inlineStr">
        <is>
          <t>BOOK</t>
        </is>
      </c>
      <c r="BC425" t="inlineStr">
        <is>
          <t>32285001773497</t>
        </is>
      </c>
      <c r="BD425" t="inlineStr">
        <is>
          <t>893347347</t>
        </is>
      </c>
    </row>
    <row r="426">
      <c r="A426" t="inlineStr">
        <is>
          <t>No</t>
        </is>
      </c>
      <c r="B426" t="inlineStr">
        <is>
          <t>QD151 .S69 v...</t>
        </is>
      </c>
      <c r="C426" t="inlineStr">
        <is>
          <t>0                      QD 0151000S  69                                                      v...</t>
        </is>
      </c>
      <c r="D426" t="inlineStr">
        <is>
          <t>Comprehensive inorganic chemistry / [edited by] M. Cannon Sneed, J. Lewis Maynard [and] Robert C. Brasted.</t>
        </is>
      </c>
      <c r="E426" t="inlineStr">
        <is>
          <t>V.7</t>
        </is>
      </c>
      <c r="F426" t="inlineStr">
        <is>
          <t>Yes</t>
        </is>
      </c>
      <c r="G426" t="inlineStr">
        <is>
          <t>1</t>
        </is>
      </c>
      <c r="H426" t="inlineStr">
        <is>
          <t>No</t>
        </is>
      </c>
      <c r="I426" t="inlineStr">
        <is>
          <t>No</t>
        </is>
      </c>
      <c r="J426" t="inlineStr">
        <is>
          <t>0</t>
        </is>
      </c>
      <c r="K426" t="inlineStr">
        <is>
          <t>Sneed, M. Cannon (Mayce Cannon), 1886-, editor.</t>
        </is>
      </c>
      <c r="L426" t="inlineStr">
        <is>
          <t>New York : Van Nostrand, [1953-</t>
        </is>
      </c>
      <c r="M426" t="inlineStr">
        <is>
          <t>1953</t>
        </is>
      </c>
      <c r="O426" t="inlineStr">
        <is>
          <t>eng</t>
        </is>
      </c>
      <c r="P426" t="inlineStr">
        <is>
          <t>nyu</t>
        </is>
      </c>
      <c r="R426" t="inlineStr">
        <is>
          <t xml:space="preserve">QD </t>
        </is>
      </c>
      <c r="S426" t="n">
        <v>2</v>
      </c>
      <c r="T426" t="n">
        <v>14</v>
      </c>
      <c r="U426" t="inlineStr">
        <is>
          <t>1994-11-27</t>
        </is>
      </c>
      <c r="V426" t="inlineStr">
        <is>
          <t>1994-12-07</t>
        </is>
      </c>
      <c r="W426" t="inlineStr">
        <is>
          <t>1993-10-06</t>
        </is>
      </c>
      <c r="X426" t="inlineStr">
        <is>
          <t>1993-10-06</t>
        </is>
      </c>
      <c r="Y426" t="n">
        <v>806</v>
      </c>
      <c r="Z426" t="n">
        <v>710</v>
      </c>
      <c r="AA426" t="n">
        <v>724</v>
      </c>
      <c r="AB426" t="n">
        <v>9</v>
      </c>
      <c r="AC426" t="n">
        <v>9</v>
      </c>
      <c r="AD426" t="n">
        <v>38</v>
      </c>
      <c r="AE426" t="n">
        <v>38</v>
      </c>
      <c r="AF426" t="n">
        <v>16</v>
      </c>
      <c r="AG426" t="n">
        <v>16</v>
      </c>
      <c r="AH426" t="n">
        <v>5</v>
      </c>
      <c r="AI426" t="n">
        <v>5</v>
      </c>
      <c r="AJ426" t="n">
        <v>19</v>
      </c>
      <c r="AK426" t="n">
        <v>19</v>
      </c>
      <c r="AL426" t="n">
        <v>8</v>
      </c>
      <c r="AM426" t="n">
        <v>8</v>
      </c>
      <c r="AN426" t="n">
        <v>0</v>
      </c>
      <c r="AO426" t="n">
        <v>0</v>
      </c>
      <c r="AP426" t="inlineStr">
        <is>
          <t>Yes</t>
        </is>
      </c>
      <c r="AQ426" t="inlineStr">
        <is>
          <t>Yes</t>
        </is>
      </c>
      <c r="AR426">
        <f>HYPERLINK("http://catalog.hathitrust.org/Record/000773323","HathiTrust Record")</f>
        <v/>
      </c>
      <c r="AS426">
        <f>HYPERLINK("https://creighton-primo.hosted.exlibrisgroup.com/primo-explore/search?tab=default_tab&amp;search_scope=EVERYTHING&amp;vid=01CRU&amp;lang=en_US&amp;offset=0&amp;query=any,contains,991002305299702656","Catalog Record")</f>
        <v/>
      </c>
      <c r="AT426">
        <f>HYPERLINK("http://www.worldcat.org/oclc/318095","WorldCat Record")</f>
        <v/>
      </c>
      <c r="AU426" t="inlineStr">
        <is>
          <t>8908694333:eng</t>
        </is>
      </c>
      <c r="AV426" t="inlineStr">
        <is>
          <t>318095</t>
        </is>
      </c>
      <c r="AW426" t="inlineStr">
        <is>
          <t>991002305299702656</t>
        </is>
      </c>
      <c r="AX426" t="inlineStr">
        <is>
          <t>991002305299702656</t>
        </is>
      </c>
      <c r="AY426" t="inlineStr">
        <is>
          <t>2267029550002656</t>
        </is>
      </c>
      <c r="AZ426" t="inlineStr">
        <is>
          <t>BOOK</t>
        </is>
      </c>
      <c r="BC426" t="inlineStr">
        <is>
          <t>32285001773489</t>
        </is>
      </c>
      <c r="BD426" t="inlineStr">
        <is>
          <t>893322776</t>
        </is>
      </c>
    </row>
    <row r="427">
      <c r="A427" t="inlineStr">
        <is>
          <t>No</t>
        </is>
      </c>
      <c r="B427" t="inlineStr">
        <is>
          <t>QD151 .S69 v...</t>
        </is>
      </c>
      <c r="C427" t="inlineStr">
        <is>
          <t>0                      QD 0151000S  69                                                      v...</t>
        </is>
      </c>
      <c r="D427" t="inlineStr">
        <is>
          <t>Comprehensive inorganic chemistry / [edited by] M. Cannon Sneed, J. Lewis Maynard [and] Robert C. Brasted.</t>
        </is>
      </c>
      <c r="E427" t="inlineStr">
        <is>
          <t>V.1</t>
        </is>
      </c>
      <c r="F427" t="inlineStr">
        <is>
          <t>Yes</t>
        </is>
      </c>
      <c r="G427" t="inlineStr">
        <is>
          <t>1</t>
        </is>
      </c>
      <c r="H427" t="inlineStr">
        <is>
          <t>No</t>
        </is>
      </c>
      <c r="I427" t="inlineStr">
        <is>
          <t>No</t>
        </is>
      </c>
      <c r="J427" t="inlineStr">
        <is>
          <t>0</t>
        </is>
      </c>
      <c r="K427" t="inlineStr">
        <is>
          <t>Sneed, M. Cannon (Mayce Cannon), 1886-, editor.</t>
        </is>
      </c>
      <c r="L427" t="inlineStr">
        <is>
          <t>New York : Van Nostrand, [1953-</t>
        </is>
      </c>
      <c r="M427" t="inlineStr">
        <is>
          <t>1953</t>
        </is>
      </c>
      <c r="O427" t="inlineStr">
        <is>
          <t>eng</t>
        </is>
      </c>
      <c r="P427" t="inlineStr">
        <is>
          <t>nyu</t>
        </is>
      </c>
      <c r="R427" t="inlineStr">
        <is>
          <t xml:space="preserve">QD </t>
        </is>
      </c>
      <c r="S427" t="n">
        <v>3</v>
      </c>
      <c r="T427" t="n">
        <v>14</v>
      </c>
      <c r="U427" t="inlineStr">
        <is>
          <t>1994-12-07</t>
        </is>
      </c>
      <c r="V427" t="inlineStr">
        <is>
          <t>1994-12-07</t>
        </is>
      </c>
      <c r="W427" t="inlineStr">
        <is>
          <t>1993-10-06</t>
        </is>
      </c>
      <c r="X427" t="inlineStr">
        <is>
          <t>1993-10-06</t>
        </is>
      </c>
      <c r="Y427" t="n">
        <v>806</v>
      </c>
      <c r="Z427" t="n">
        <v>710</v>
      </c>
      <c r="AA427" t="n">
        <v>724</v>
      </c>
      <c r="AB427" t="n">
        <v>9</v>
      </c>
      <c r="AC427" t="n">
        <v>9</v>
      </c>
      <c r="AD427" t="n">
        <v>38</v>
      </c>
      <c r="AE427" t="n">
        <v>38</v>
      </c>
      <c r="AF427" t="n">
        <v>16</v>
      </c>
      <c r="AG427" t="n">
        <v>16</v>
      </c>
      <c r="AH427" t="n">
        <v>5</v>
      </c>
      <c r="AI427" t="n">
        <v>5</v>
      </c>
      <c r="AJ427" t="n">
        <v>19</v>
      </c>
      <c r="AK427" t="n">
        <v>19</v>
      </c>
      <c r="AL427" t="n">
        <v>8</v>
      </c>
      <c r="AM427" t="n">
        <v>8</v>
      </c>
      <c r="AN427" t="n">
        <v>0</v>
      </c>
      <c r="AO427" t="n">
        <v>0</v>
      </c>
      <c r="AP427" t="inlineStr">
        <is>
          <t>Yes</t>
        </is>
      </c>
      <c r="AQ427" t="inlineStr">
        <is>
          <t>Yes</t>
        </is>
      </c>
      <c r="AR427">
        <f>HYPERLINK("http://catalog.hathitrust.org/Record/000773323","HathiTrust Record")</f>
        <v/>
      </c>
      <c r="AS427">
        <f>HYPERLINK("https://creighton-primo.hosted.exlibrisgroup.com/primo-explore/search?tab=default_tab&amp;search_scope=EVERYTHING&amp;vid=01CRU&amp;lang=en_US&amp;offset=0&amp;query=any,contains,991002305299702656","Catalog Record")</f>
        <v/>
      </c>
      <c r="AT427">
        <f>HYPERLINK("http://www.worldcat.org/oclc/318095","WorldCat Record")</f>
        <v/>
      </c>
      <c r="AU427" t="inlineStr">
        <is>
          <t>8908694333:eng</t>
        </is>
      </c>
      <c r="AV427" t="inlineStr">
        <is>
          <t>318095</t>
        </is>
      </c>
      <c r="AW427" t="inlineStr">
        <is>
          <t>991002305299702656</t>
        </is>
      </c>
      <c r="AX427" t="inlineStr">
        <is>
          <t>991002305299702656</t>
        </is>
      </c>
      <c r="AY427" t="inlineStr">
        <is>
          <t>2267029550002656</t>
        </is>
      </c>
      <c r="AZ427" t="inlineStr">
        <is>
          <t>BOOK</t>
        </is>
      </c>
      <c r="BC427" t="inlineStr">
        <is>
          <t>32285001773448</t>
        </is>
      </c>
      <c r="BD427" t="inlineStr">
        <is>
          <t>893322775</t>
        </is>
      </c>
    </row>
    <row r="428">
      <c r="A428" t="inlineStr">
        <is>
          <t>No</t>
        </is>
      </c>
      <c r="B428" t="inlineStr">
        <is>
          <t>QD151 .S69 v...</t>
        </is>
      </c>
      <c r="C428" t="inlineStr">
        <is>
          <t>0                      QD 0151000S  69                                                      v...</t>
        </is>
      </c>
      <c r="D428" t="inlineStr">
        <is>
          <t>Comprehensive inorganic chemistry / [edited by] M. Cannon Sneed, J. Lewis Maynard [and] Robert C. Brasted.</t>
        </is>
      </c>
      <c r="E428" t="inlineStr">
        <is>
          <t>V.6</t>
        </is>
      </c>
      <c r="F428" t="inlineStr">
        <is>
          <t>Yes</t>
        </is>
      </c>
      <c r="G428" t="inlineStr">
        <is>
          <t>1</t>
        </is>
      </c>
      <c r="H428" t="inlineStr">
        <is>
          <t>No</t>
        </is>
      </c>
      <c r="I428" t="inlineStr">
        <is>
          <t>No</t>
        </is>
      </c>
      <c r="J428" t="inlineStr">
        <is>
          <t>0</t>
        </is>
      </c>
      <c r="K428" t="inlineStr">
        <is>
          <t>Sneed, M. Cannon (Mayce Cannon), 1886-, editor.</t>
        </is>
      </c>
      <c r="L428" t="inlineStr">
        <is>
          <t>New York : Van Nostrand, [1953-</t>
        </is>
      </c>
      <c r="M428" t="inlineStr">
        <is>
          <t>1953</t>
        </is>
      </c>
      <c r="O428" t="inlineStr">
        <is>
          <t>eng</t>
        </is>
      </c>
      <c r="P428" t="inlineStr">
        <is>
          <t>nyu</t>
        </is>
      </c>
      <c r="R428" t="inlineStr">
        <is>
          <t xml:space="preserve">QD </t>
        </is>
      </c>
      <c r="S428" t="n">
        <v>1</v>
      </c>
      <c r="T428" t="n">
        <v>14</v>
      </c>
      <c r="U428" t="inlineStr">
        <is>
          <t>1994-11-27</t>
        </is>
      </c>
      <c r="V428" t="inlineStr">
        <is>
          <t>1994-12-07</t>
        </is>
      </c>
      <c r="W428" t="inlineStr">
        <is>
          <t>1992-04-14</t>
        </is>
      </c>
      <c r="X428" t="inlineStr">
        <is>
          <t>1993-10-06</t>
        </is>
      </c>
      <c r="Y428" t="n">
        <v>806</v>
      </c>
      <c r="Z428" t="n">
        <v>710</v>
      </c>
      <c r="AA428" t="n">
        <v>724</v>
      </c>
      <c r="AB428" t="n">
        <v>9</v>
      </c>
      <c r="AC428" t="n">
        <v>9</v>
      </c>
      <c r="AD428" t="n">
        <v>38</v>
      </c>
      <c r="AE428" t="n">
        <v>38</v>
      </c>
      <c r="AF428" t="n">
        <v>16</v>
      </c>
      <c r="AG428" t="n">
        <v>16</v>
      </c>
      <c r="AH428" t="n">
        <v>5</v>
      </c>
      <c r="AI428" t="n">
        <v>5</v>
      </c>
      <c r="AJ428" t="n">
        <v>19</v>
      </c>
      <c r="AK428" t="n">
        <v>19</v>
      </c>
      <c r="AL428" t="n">
        <v>8</v>
      </c>
      <c r="AM428" t="n">
        <v>8</v>
      </c>
      <c r="AN428" t="n">
        <v>0</v>
      </c>
      <c r="AO428" t="n">
        <v>0</v>
      </c>
      <c r="AP428" t="inlineStr">
        <is>
          <t>Yes</t>
        </is>
      </c>
      <c r="AQ428" t="inlineStr">
        <is>
          <t>Yes</t>
        </is>
      </c>
      <c r="AR428">
        <f>HYPERLINK("http://catalog.hathitrust.org/Record/000773323","HathiTrust Record")</f>
        <v/>
      </c>
      <c r="AS428">
        <f>HYPERLINK("https://creighton-primo.hosted.exlibrisgroup.com/primo-explore/search?tab=default_tab&amp;search_scope=EVERYTHING&amp;vid=01CRU&amp;lang=en_US&amp;offset=0&amp;query=any,contains,991002305299702656","Catalog Record")</f>
        <v/>
      </c>
      <c r="AT428">
        <f>HYPERLINK("http://www.worldcat.org/oclc/318095","WorldCat Record")</f>
        <v/>
      </c>
      <c r="AU428" t="inlineStr">
        <is>
          <t>8908694333:eng</t>
        </is>
      </c>
      <c r="AV428" t="inlineStr">
        <is>
          <t>318095</t>
        </is>
      </c>
      <c r="AW428" t="inlineStr">
        <is>
          <t>991002305299702656</t>
        </is>
      </c>
      <c r="AX428" t="inlineStr">
        <is>
          <t>991002305299702656</t>
        </is>
      </c>
      <c r="AY428" t="inlineStr">
        <is>
          <t>2267029550002656</t>
        </is>
      </c>
      <c r="AZ428" t="inlineStr">
        <is>
          <t>BOOK</t>
        </is>
      </c>
      <c r="BC428" t="inlineStr">
        <is>
          <t>32285001059459</t>
        </is>
      </c>
      <c r="BD428" t="inlineStr">
        <is>
          <t>893347348</t>
        </is>
      </c>
    </row>
    <row r="429">
      <c r="A429" t="inlineStr">
        <is>
          <t>No</t>
        </is>
      </c>
      <c r="B429" t="inlineStr">
        <is>
          <t>QD151 .S69 v...</t>
        </is>
      </c>
      <c r="C429" t="inlineStr">
        <is>
          <t>0                      QD 0151000S  69                                                      v...</t>
        </is>
      </c>
      <c r="D429" t="inlineStr">
        <is>
          <t>Comprehensive inorganic chemistry / [edited by] M. Cannon Sneed, J. Lewis Maynard [and] Robert C. Brasted.</t>
        </is>
      </c>
      <c r="E429" t="inlineStr">
        <is>
          <t>V.2</t>
        </is>
      </c>
      <c r="F429" t="inlineStr">
        <is>
          <t>Yes</t>
        </is>
      </c>
      <c r="G429" t="inlineStr">
        <is>
          <t>1</t>
        </is>
      </c>
      <c r="H429" t="inlineStr">
        <is>
          <t>No</t>
        </is>
      </c>
      <c r="I429" t="inlineStr">
        <is>
          <t>No</t>
        </is>
      </c>
      <c r="J429" t="inlineStr">
        <is>
          <t>0</t>
        </is>
      </c>
      <c r="K429" t="inlineStr">
        <is>
          <t>Sneed, M. Cannon (Mayce Cannon), 1886-, editor.</t>
        </is>
      </c>
      <c r="L429" t="inlineStr">
        <is>
          <t>New York : Van Nostrand, [1953-</t>
        </is>
      </c>
      <c r="M429" t="inlineStr">
        <is>
          <t>1953</t>
        </is>
      </c>
      <c r="O429" t="inlineStr">
        <is>
          <t>eng</t>
        </is>
      </c>
      <c r="P429" t="inlineStr">
        <is>
          <t>nyu</t>
        </is>
      </c>
      <c r="R429" t="inlineStr">
        <is>
          <t xml:space="preserve">QD </t>
        </is>
      </c>
      <c r="S429" t="n">
        <v>1</v>
      </c>
      <c r="T429" t="n">
        <v>14</v>
      </c>
      <c r="U429" t="inlineStr">
        <is>
          <t>1994-11-27</t>
        </is>
      </c>
      <c r="V429" t="inlineStr">
        <is>
          <t>1994-12-07</t>
        </is>
      </c>
      <c r="W429" t="inlineStr">
        <is>
          <t>1993-10-06</t>
        </is>
      </c>
      <c r="X429" t="inlineStr">
        <is>
          <t>1993-10-06</t>
        </is>
      </c>
      <c r="Y429" t="n">
        <v>806</v>
      </c>
      <c r="Z429" t="n">
        <v>710</v>
      </c>
      <c r="AA429" t="n">
        <v>724</v>
      </c>
      <c r="AB429" t="n">
        <v>9</v>
      </c>
      <c r="AC429" t="n">
        <v>9</v>
      </c>
      <c r="AD429" t="n">
        <v>38</v>
      </c>
      <c r="AE429" t="n">
        <v>38</v>
      </c>
      <c r="AF429" t="n">
        <v>16</v>
      </c>
      <c r="AG429" t="n">
        <v>16</v>
      </c>
      <c r="AH429" t="n">
        <v>5</v>
      </c>
      <c r="AI429" t="n">
        <v>5</v>
      </c>
      <c r="AJ429" t="n">
        <v>19</v>
      </c>
      <c r="AK429" t="n">
        <v>19</v>
      </c>
      <c r="AL429" t="n">
        <v>8</v>
      </c>
      <c r="AM429" t="n">
        <v>8</v>
      </c>
      <c r="AN429" t="n">
        <v>0</v>
      </c>
      <c r="AO429" t="n">
        <v>0</v>
      </c>
      <c r="AP429" t="inlineStr">
        <is>
          <t>Yes</t>
        </is>
      </c>
      <c r="AQ429" t="inlineStr">
        <is>
          <t>Yes</t>
        </is>
      </c>
      <c r="AR429">
        <f>HYPERLINK("http://catalog.hathitrust.org/Record/000773323","HathiTrust Record")</f>
        <v/>
      </c>
      <c r="AS429">
        <f>HYPERLINK("https://creighton-primo.hosted.exlibrisgroup.com/primo-explore/search?tab=default_tab&amp;search_scope=EVERYTHING&amp;vid=01CRU&amp;lang=en_US&amp;offset=0&amp;query=any,contains,991002305299702656","Catalog Record")</f>
        <v/>
      </c>
      <c r="AT429">
        <f>HYPERLINK("http://www.worldcat.org/oclc/318095","WorldCat Record")</f>
        <v/>
      </c>
      <c r="AU429" t="inlineStr">
        <is>
          <t>8908694333:eng</t>
        </is>
      </c>
      <c r="AV429" t="inlineStr">
        <is>
          <t>318095</t>
        </is>
      </c>
      <c r="AW429" t="inlineStr">
        <is>
          <t>991002305299702656</t>
        </is>
      </c>
      <c r="AX429" t="inlineStr">
        <is>
          <t>991002305299702656</t>
        </is>
      </c>
      <c r="AY429" t="inlineStr">
        <is>
          <t>2267029550002656</t>
        </is>
      </c>
      <c r="AZ429" t="inlineStr">
        <is>
          <t>BOOK</t>
        </is>
      </c>
      <c r="BC429" t="inlineStr">
        <is>
          <t>32285001773455</t>
        </is>
      </c>
      <c r="BD429" t="inlineStr">
        <is>
          <t>893328917</t>
        </is>
      </c>
    </row>
    <row r="430">
      <c r="A430" t="inlineStr">
        <is>
          <t>No</t>
        </is>
      </c>
      <c r="B430" t="inlineStr">
        <is>
          <t>QD151 .S69 v...</t>
        </is>
      </c>
      <c r="C430" t="inlineStr">
        <is>
          <t>0                      QD 0151000S  69                                                      v...</t>
        </is>
      </c>
      <c r="D430" t="inlineStr">
        <is>
          <t>Comprehensive inorganic chemistry / [edited by] M. Cannon Sneed, J. Lewis Maynard [and] Robert C. Brasted.</t>
        </is>
      </c>
      <c r="E430" t="inlineStr">
        <is>
          <t>V.5</t>
        </is>
      </c>
      <c r="F430" t="inlineStr">
        <is>
          <t>Yes</t>
        </is>
      </c>
      <c r="G430" t="inlineStr">
        <is>
          <t>1</t>
        </is>
      </c>
      <c r="H430" t="inlineStr">
        <is>
          <t>No</t>
        </is>
      </c>
      <c r="I430" t="inlineStr">
        <is>
          <t>No</t>
        </is>
      </c>
      <c r="J430" t="inlineStr">
        <is>
          <t>0</t>
        </is>
      </c>
      <c r="K430" t="inlineStr">
        <is>
          <t>Sneed, M. Cannon (Mayce Cannon), 1886-, editor.</t>
        </is>
      </c>
      <c r="L430" t="inlineStr">
        <is>
          <t>New York : Van Nostrand, [1953-</t>
        </is>
      </c>
      <c r="M430" t="inlineStr">
        <is>
          <t>1953</t>
        </is>
      </c>
      <c r="O430" t="inlineStr">
        <is>
          <t>eng</t>
        </is>
      </c>
      <c r="P430" t="inlineStr">
        <is>
          <t>nyu</t>
        </is>
      </c>
      <c r="R430" t="inlineStr">
        <is>
          <t xml:space="preserve">QD </t>
        </is>
      </c>
      <c r="S430" t="n">
        <v>3</v>
      </c>
      <c r="T430" t="n">
        <v>14</v>
      </c>
      <c r="V430" t="inlineStr">
        <is>
          <t>1994-12-07</t>
        </is>
      </c>
      <c r="W430" t="inlineStr">
        <is>
          <t>1993-10-06</t>
        </is>
      </c>
      <c r="X430" t="inlineStr">
        <is>
          <t>1993-10-06</t>
        </is>
      </c>
      <c r="Y430" t="n">
        <v>806</v>
      </c>
      <c r="Z430" t="n">
        <v>710</v>
      </c>
      <c r="AA430" t="n">
        <v>724</v>
      </c>
      <c r="AB430" t="n">
        <v>9</v>
      </c>
      <c r="AC430" t="n">
        <v>9</v>
      </c>
      <c r="AD430" t="n">
        <v>38</v>
      </c>
      <c r="AE430" t="n">
        <v>38</v>
      </c>
      <c r="AF430" t="n">
        <v>16</v>
      </c>
      <c r="AG430" t="n">
        <v>16</v>
      </c>
      <c r="AH430" t="n">
        <v>5</v>
      </c>
      <c r="AI430" t="n">
        <v>5</v>
      </c>
      <c r="AJ430" t="n">
        <v>19</v>
      </c>
      <c r="AK430" t="n">
        <v>19</v>
      </c>
      <c r="AL430" t="n">
        <v>8</v>
      </c>
      <c r="AM430" t="n">
        <v>8</v>
      </c>
      <c r="AN430" t="n">
        <v>0</v>
      </c>
      <c r="AO430" t="n">
        <v>0</v>
      </c>
      <c r="AP430" t="inlineStr">
        <is>
          <t>Yes</t>
        </is>
      </c>
      <c r="AQ430" t="inlineStr">
        <is>
          <t>Yes</t>
        </is>
      </c>
      <c r="AR430">
        <f>HYPERLINK("http://catalog.hathitrust.org/Record/000773323","HathiTrust Record")</f>
        <v/>
      </c>
      <c r="AS430">
        <f>HYPERLINK("https://creighton-primo.hosted.exlibrisgroup.com/primo-explore/search?tab=default_tab&amp;search_scope=EVERYTHING&amp;vid=01CRU&amp;lang=en_US&amp;offset=0&amp;query=any,contains,991002305299702656","Catalog Record")</f>
        <v/>
      </c>
      <c r="AT430">
        <f>HYPERLINK("http://www.worldcat.org/oclc/318095","WorldCat Record")</f>
        <v/>
      </c>
      <c r="AU430" t="inlineStr">
        <is>
          <t>8908694333:eng</t>
        </is>
      </c>
      <c r="AV430" t="inlineStr">
        <is>
          <t>318095</t>
        </is>
      </c>
      <c r="AW430" t="inlineStr">
        <is>
          <t>991002305299702656</t>
        </is>
      </c>
      <c r="AX430" t="inlineStr">
        <is>
          <t>991002305299702656</t>
        </is>
      </c>
      <c r="AY430" t="inlineStr">
        <is>
          <t>2267029550002656</t>
        </is>
      </c>
      <c r="AZ430" t="inlineStr">
        <is>
          <t>BOOK</t>
        </is>
      </c>
      <c r="BC430" t="inlineStr">
        <is>
          <t>32285001773471</t>
        </is>
      </c>
      <c r="BD430" t="inlineStr">
        <is>
          <t>893347349</t>
        </is>
      </c>
    </row>
    <row r="431">
      <c r="A431" t="inlineStr">
        <is>
          <t>No</t>
        </is>
      </c>
      <c r="B431" t="inlineStr">
        <is>
          <t>QD151.2 .C68 1999</t>
        </is>
      </c>
      <c r="C431" t="inlineStr">
        <is>
          <t>0                      QD 0151200C  68          1999</t>
        </is>
      </c>
      <c r="D431" t="inlineStr">
        <is>
          <t>Advanced inorganic chemistry.</t>
        </is>
      </c>
      <c r="F431" t="inlineStr">
        <is>
          <t>No</t>
        </is>
      </c>
      <c r="G431" t="inlineStr">
        <is>
          <t>1</t>
        </is>
      </c>
      <c r="H431" t="inlineStr">
        <is>
          <t>No</t>
        </is>
      </c>
      <c r="I431" t="inlineStr">
        <is>
          <t>No</t>
        </is>
      </c>
      <c r="J431" t="inlineStr">
        <is>
          <t>0</t>
        </is>
      </c>
      <c r="L431" t="inlineStr">
        <is>
          <t>New York : Wiley, c1999.</t>
        </is>
      </c>
      <c r="M431" t="inlineStr">
        <is>
          <t>1999</t>
        </is>
      </c>
      <c r="N431" t="inlineStr">
        <is>
          <t>6th ed. / F. Albert Cotton ... [et al.].</t>
        </is>
      </c>
      <c r="O431" t="inlineStr">
        <is>
          <t>eng</t>
        </is>
      </c>
      <c r="P431" t="inlineStr">
        <is>
          <t>nyu</t>
        </is>
      </c>
      <c r="R431" t="inlineStr">
        <is>
          <t xml:space="preserve">QD </t>
        </is>
      </c>
      <c r="S431" t="n">
        <v>3</v>
      </c>
      <c r="T431" t="n">
        <v>3</v>
      </c>
      <c r="U431" t="inlineStr">
        <is>
          <t>2000-08-23</t>
        </is>
      </c>
      <c r="V431" t="inlineStr">
        <is>
          <t>2000-08-23</t>
        </is>
      </c>
      <c r="W431" t="inlineStr">
        <is>
          <t>2000-08-23</t>
        </is>
      </c>
      <c r="X431" t="inlineStr">
        <is>
          <t>2000-08-23</t>
        </is>
      </c>
      <c r="Y431" t="n">
        <v>1090</v>
      </c>
      <c r="Z431" t="n">
        <v>833</v>
      </c>
      <c r="AA431" t="n">
        <v>1159</v>
      </c>
      <c r="AB431" t="n">
        <v>6</v>
      </c>
      <c r="AC431" t="n">
        <v>8</v>
      </c>
      <c r="AD431" t="n">
        <v>39</v>
      </c>
      <c r="AE431" t="n">
        <v>49</v>
      </c>
      <c r="AF431" t="n">
        <v>18</v>
      </c>
      <c r="AG431" t="n">
        <v>23</v>
      </c>
      <c r="AH431" t="n">
        <v>7</v>
      </c>
      <c r="AI431" t="n">
        <v>9</v>
      </c>
      <c r="AJ431" t="n">
        <v>15</v>
      </c>
      <c r="AK431" t="n">
        <v>22</v>
      </c>
      <c r="AL431" t="n">
        <v>5</v>
      </c>
      <c r="AM431" t="n">
        <v>7</v>
      </c>
      <c r="AN431" t="n">
        <v>0</v>
      </c>
      <c r="AO431" t="n">
        <v>0</v>
      </c>
      <c r="AP431" t="inlineStr">
        <is>
          <t>No</t>
        </is>
      </c>
      <c r="AQ431" t="inlineStr">
        <is>
          <t>Yes</t>
        </is>
      </c>
      <c r="AR431">
        <f>HYPERLINK("http://catalog.hathitrust.org/Record/004938491","HathiTrust Record")</f>
        <v/>
      </c>
      <c r="AS431">
        <f>HYPERLINK("https://creighton-primo.hosted.exlibrisgroup.com/primo-explore/search?tab=default_tab&amp;search_scope=EVERYTHING&amp;vid=01CRU&amp;lang=en_US&amp;offset=0&amp;query=any,contains,991003271509702656","Catalog Record")</f>
        <v/>
      </c>
      <c r="AT431">
        <f>HYPERLINK("http://www.worldcat.org/oclc/39147745","WorldCat Record")</f>
        <v/>
      </c>
      <c r="AU431" t="inlineStr">
        <is>
          <t>4535662659:eng</t>
        </is>
      </c>
      <c r="AV431" t="inlineStr">
        <is>
          <t>39147745</t>
        </is>
      </c>
      <c r="AW431" t="inlineStr">
        <is>
          <t>991003271509702656</t>
        </is>
      </c>
      <c r="AX431" t="inlineStr">
        <is>
          <t>991003271509702656</t>
        </is>
      </c>
      <c r="AY431" t="inlineStr">
        <is>
          <t>2264692920002656</t>
        </is>
      </c>
      <c r="AZ431" t="inlineStr">
        <is>
          <t>BOOK</t>
        </is>
      </c>
      <c r="BB431" t="inlineStr">
        <is>
          <t>9780471199571</t>
        </is>
      </c>
      <c r="BC431" t="inlineStr">
        <is>
          <t>32285003759114</t>
        </is>
      </c>
      <c r="BD431" t="inlineStr">
        <is>
          <t>893240042</t>
        </is>
      </c>
    </row>
    <row r="432">
      <c r="A432" t="inlineStr">
        <is>
          <t>No</t>
        </is>
      </c>
      <c r="B432" t="inlineStr">
        <is>
          <t>QD151.2 .F47 1982</t>
        </is>
      </c>
      <c r="C432" t="inlineStr">
        <is>
          <t>0                      QD 0151200F  47          1982</t>
        </is>
      </c>
      <c r="D432" t="inlineStr">
        <is>
          <t>Inorganic chemistry and the earth : chemical resources, their extraction, use, and environmental impact / J.E. Fergusson.</t>
        </is>
      </c>
      <c r="F432" t="inlineStr">
        <is>
          <t>No</t>
        </is>
      </c>
      <c r="G432" t="inlineStr">
        <is>
          <t>1</t>
        </is>
      </c>
      <c r="H432" t="inlineStr">
        <is>
          <t>No</t>
        </is>
      </c>
      <c r="I432" t="inlineStr">
        <is>
          <t>No</t>
        </is>
      </c>
      <c r="J432" t="inlineStr">
        <is>
          <t>0</t>
        </is>
      </c>
      <c r="K432" t="inlineStr">
        <is>
          <t>Fergusson, J. E.</t>
        </is>
      </c>
      <c r="L432" t="inlineStr">
        <is>
          <t>Oxford [Oxfordshire] ; New York : Pergamon Press, 1982.</t>
        </is>
      </c>
      <c r="M432" t="inlineStr">
        <is>
          <t>1982</t>
        </is>
      </c>
      <c r="N432" t="inlineStr">
        <is>
          <t>1st ed.</t>
        </is>
      </c>
      <c r="O432" t="inlineStr">
        <is>
          <t>eng</t>
        </is>
      </c>
      <c r="P432" t="inlineStr">
        <is>
          <t>enk</t>
        </is>
      </c>
      <c r="Q432" t="inlineStr">
        <is>
          <t>Pergamon series on environmental science ; v. 6</t>
        </is>
      </c>
      <c r="R432" t="inlineStr">
        <is>
          <t xml:space="preserve">QD </t>
        </is>
      </c>
      <c r="S432" t="n">
        <v>10</v>
      </c>
      <c r="T432" t="n">
        <v>10</v>
      </c>
      <c r="U432" t="inlineStr">
        <is>
          <t>1995-04-21</t>
        </is>
      </c>
      <c r="V432" t="inlineStr">
        <is>
          <t>1995-04-21</t>
        </is>
      </c>
      <c r="W432" t="inlineStr">
        <is>
          <t>1993-01-25</t>
        </is>
      </c>
      <c r="X432" t="inlineStr">
        <is>
          <t>1993-01-25</t>
        </is>
      </c>
      <c r="Y432" t="n">
        <v>537</v>
      </c>
      <c r="Z432" t="n">
        <v>385</v>
      </c>
      <c r="AA432" t="n">
        <v>393</v>
      </c>
      <c r="AB432" t="n">
        <v>3</v>
      </c>
      <c r="AC432" t="n">
        <v>3</v>
      </c>
      <c r="AD432" t="n">
        <v>16</v>
      </c>
      <c r="AE432" t="n">
        <v>17</v>
      </c>
      <c r="AF432" t="n">
        <v>6</v>
      </c>
      <c r="AG432" t="n">
        <v>7</v>
      </c>
      <c r="AH432" t="n">
        <v>4</v>
      </c>
      <c r="AI432" t="n">
        <v>4</v>
      </c>
      <c r="AJ432" t="n">
        <v>8</v>
      </c>
      <c r="AK432" t="n">
        <v>9</v>
      </c>
      <c r="AL432" t="n">
        <v>2</v>
      </c>
      <c r="AM432" t="n">
        <v>2</v>
      </c>
      <c r="AN432" t="n">
        <v>0</v>
      </c>
      <c r="AO432" t="n">
        <v>0</v>
      </c>
      <c r="AP432" t="inlineStr">
        <is>
          <t>No</t>
        </is>
      </c>
      <c r="AQ432" t="inlineStr">
        <is>
          <t>Yes</t>
        </is>
      </c>
      <c r="AR432">
        <f>HYPERLINK("http://catalog.hathitrust.org/Record/000124388","HathiTrust Record")</f>
        <v/>
      </c>
      <c r="AS432">
        <f>HYPERLINK("https://creighton-primo.hosted.exlibrisgroup.com/primo-explore/search?tab=default_tab&amp;search_scope=EVERYTHING&amp;vid=01CRU&amp;lang=en_US&amp;offset=0&amp;query=any,contains,991000054959702656","Catalog Record")</f>
        <v/>
      </c>
      <c r="AT432">
        <f>HYPERLINK("http://www.worldcat.org/oclc/8708495","WorldCat Record")</f>
        <v/>
      </c>
      <c r="AU432" t="inlineStr">
        <is>
          <t>836700478:eng</t>
        </is>
      </c>
      <c r="AV432" t="inlineStr">
        <is>
          <t>8708495</t>
        </is>
      </c>
      <c r="AW432" t="inlineStr">
        <is>
          <t>991000054959702656</t>
        </is>
      </c>
      <c r="AX432" t="inlineStr">
        <is>
          <t>991000054959702656</t>
        </is>
      </c>
      <c r="AY432" t="inlineStr">
        <is>
          <t>2255519350002656</t>
        </is>
      </c>
      <c r="AZ432" t="inlineStr">
        <is>
          <t>BOOK</t>
        </is>
      </c>
      <c r="BB432" t="inlineStr">
        <is>
          <t>9780080239941</t>
        </is>
      </c>
      <c r="BC432" t="inlineStr">
        <is>
          <t>32285001515583</t>
        </is>
      </c>
      <c r="BD432" t="inlineStr">
        <is>
          <t>893695546</t>
        </is>
      </c>
    </row>
    <row r="433">
      <c r="A433" t="inlineStr">
        <is>
          <t>No</t>
        </is>
      </c>
      <c r="B433" t="inlineStr">
        <is>
          <t>QD151.2 .K5 1995</t>
        </is>
      </c>
      <c r="C433" t="inlineStr">
        <is>
          <t>0                      QD 0151200K  5           1995</t>
        </is>
      </c>
      <c r="D433" t="inlineStr">
        <is>
          <t>Inorganic chemistry of main group elements / R. Bruce King.</t>
        </is>
      </c>
      <c r="F433" t="inlineStr">
        <is>
          <t>No</t>
        </is>
      </c>
      <c r="G433" t="inlineStr">
        <is>
          <t>1</t>
        </is>
      </c>
      <c r="H433" t="inlineStr">
        <is>
          <t>No</t>
        </is>
      </c>
      <c r="I433" t="inlineStr">
        <is>
          <t>No</t>
        </is>
      </c>
      <c r="J433" t="inlineStr">
        <is>
          <t>0</t>
        </is>
      </c>
      <c r="K433" t="inlineStr">
        <is>
          <t>King, R. Bruce.</t>
        </is>
      </c>
      <c r="L433" t="inlineStr">
        <is>
          <t>New York : Wiley-VCH, c1995.</t>
        </is>
      </c>
      <c r="M433" t="inlineStr">
        <is>
          <t>1995</t>
        </is>
      </c>
      <c r="O433" t="inlineStr">
        <is>
          <t>eng</t>
        </is>
      </c>
      <c r="P433" t="inlineStr">
        <is>
          <t>nyu</t>
        </is>
      </c>
      <c r="R433" t="inlineStr">
        <is>
          <t xml:space="preserve">QD </t>
        </is>
      </c>
      <c r="S433" t="n">
        <v>1</v>
      </c>
      <c r="T433" t="n">
        <v>1</v>
      </c>
      <c r="U433" t="inlineStr">
        <is>
          <t>2003-04-01</t>
        </is>
      </c>
      <c r="V433" t="inlineStr">
        <is>
          <t>2003-04-01</t>
        </is>
      </c>
      <c r="W433" t="inlineStr">
        <is>
          <t>2003-04-01</t>
        </is>
      </c>
      <c r="X433" t="inlineStr">
        <is>
          <t>2003-04-01</t>
        </is>
      </c>
      <c r="Y433" t="n">
        <v>498</v>
      </c>
      <c r="Z433" t="n">
        <v>390</v>
      </c>
      <c r="AA433" t="n">
        <v>407</v>
      </c>
      <c r="AB433" t="n">
        <v>4</v>
      </c>
      <c r="AC433" t="n">
        <v>4</v>
      </c>
      <c r="AD433" t="n">
        <v>27</v>
      </c>
      <c r="AE433" t="n">
        <v>27</v>
      </c>
      <c r="AF433" t="n">
        <v>11</v>
      </c>
      <c r="AG433" t="n">
        <v>11</v>
      </c>
      <c r="AH433" t="n">
        <v>7</v>
      </c>
      <c r="AI433" t="n">
        <v>7</v>
      </c>
      <c r="AJ433" t="n">
        <v>12</v>
      </c>
      <c r="AK433" t="n">
        <v>12</v>
      </c>
      <c r="AL433" t="n">
        <v>3</v>
      </c>
      <c r="AM433" t="n">
        <v>3</v>
      </c>
      <c r="AN433" t="n">
        <v>0</v>
      </c>
      <c r="AO433" t="n">
        <v>0</v>
      </c>
      <c r="AP433" t="inlineStr">
        <is>
          <t>No</t>
        </is>
      </c>
      <c r="AQ433" t="inlineStr">
        <is>
          <t>Yes</t>
        </is>
      </c>
      <c r="AR433">
        <f>HYPERLINK("http://catalog.hathitrust.org/Record/002907295","HathiTrust Record")</f>
        <v/>
      </c>
      <c r="AS433">
        <f>HYPERLINK("https://creighton-primo.hosted.exlibrisgroup.com/primo-explore/search?tab=default_tab&amp;search_scope=EVERYTHING&amp;vid=01CRU&amp;lang=en_US&amp;offset=0&amp;query=any,contains,991003998709702656","Catalog Record")</f>
        <v/>
      </c>
      <c r="AT433">
        <f>HYPERLINK("http://www.worldcat.org/oclc/31172597","WorldCat Record")</f>
        <v/>
      </c>
      <c r="AU433" t="inlineStr">
        <is>
          <t>6649337:eng</t>
        </is>
      </c>
      <c r="AV433" t="inlineStr">
        <is>
          <t>31172597</t>
        </is>
      </c>
      <c r="AW433" t="inlineStr">
        <is>
          <t>991003998709702656</t>
        </is>
      </c>
      <c r="AX433" t="inlineStr">
        <is>
          <t>991003998709702656</t>
        </is>
      </c>
      <c r="AY433" t="inlineStr">
        <is>
          <t>2258021230002656</t>
        </is>
      </c>
      <c r="AZ433" t="inlineStr">
        <is>
          <t>BOOK</t>
        </is>
      </c>
      <c r="BB433" t="inlineStr">
        <is>
          <t>9780471186021</t>
        </is>
      </c>
      <c r="BC433" t="inlineStr">
        <is>
          <t>32285004688445</t>
        </is>
      </c>
      <c r="BD433" t="inlineStr">
        <is>
          <t>893240889</t>
        </is>
      </c>
    </row>
    <row r="434">
      <c r="A434" t="inlineStr">
        <is>
          <t>No</t>
        </is>
      </c>
      <c r="B434" t="inlineStr">
        <is>
          <t>QD151.2 .M37 2000</t>
        </is>
      </c>
      <c r="C434" t="inlineStr">
        <is>
          <t>0                      QD 0151200M  37          2000</t>
        </is>
      </c>
      <c r="D434" t="inlineStr">
        <is>
          <t>Main group chemistry / A.G. Massey.</t>
        </is>
      </c>
      <c r="F434" t="inlineStr">
        <is>
          <t>No</t>
        </is>
      </c>
      <c r="G434" t="inlineStr">
        <is>
          <t>1</t>
        </is>
      </c>
      <c r="H434" t="inlineStr">
        <is>
          <t>No</t>
        </is>
      </c>
      <c r="I434" t="inlineStr">
        <is>
          <t>No</t>
        </is>
      </c>
      <c r="J434" t="inlineStr">
        <is>
          <t>0</t>
        </is>
      </c>
      <c r="K434" t="inlineStr">
        <is>
          <t>Massey, A. G.</t>
        </is>
      </c>
      <c r="L434" t="inlineStr">
        <is>
          <t>Chichester ; New York : Wiley, c2000.</t>
        </is>
      </c>
      <c r="M434" t="inlineStr">
        <is>
          <t>2000</t>
        </is>
      </c>
      <c r="N434" t="inlineStr">
        <is>
          <t>2nd ed.</t>
        </is>
      </c>
      <c r="O434" t="inlineStr">
        <is>
          <t>eng</t>
        </is>
      </c>
      <c r="P434" t="inlineStr">
        <is>
          <t>enk</t>
        </is>
      </c>
      <c r="Q434" t="inlineStr">
        <is>
          <t>Inorganic chemistry</t>
        </is>
      </c>
      <c r="R434" t="inlineStr">
        <is>
          <t xml:space="preserve">QD </t>
        </is>
      </c>
      <c r="S434" t="n">
        <v>1</v>
      </c>
      <c r="T434" t="n">
        <v>1</v>
      </c>
      <c r="U434" t="inlineStr">
        <is>
          <t>2003-03-20</t>
        </is>
      </c>
      <c r="V434" t="inlineStr">
        <is>
          <t>2003-03-20</t>
        </is>
      </c>
      <c r="W434" t="inlineStr">
        <is>
          <t>2003-03-20</t>
        </is>
      </c>
      <c r="X434" t="inlineStr">
        <is>
          <t>2003-03-20</t>
        </is>
      </c>
      <c r="Y434" t="n">
        <v>326</v>
      </c>
      <c r="Z434" t="n">
        <v>215</v>
      </c>
      <c r="AA434" t="n">
        <v>317</v>
      </c>
      <c r="AB434" t="n">
        <v>3</v>
      </c>
      <c r="AC434" t="n">
        <v>3</v>
      </c>
      <c r="AD434" t="n">
        <v>10</v>
      </c>
      <c r="AE434" t="n">
        <v>17</v>
      </c>
      <c r="AF434" t="n">
        <v>2</v>
      </c>
      <c r="AG434" t="n">
        <v>5</v>
      </c>
      <c r="AH434" t="n">
        <v>4</v>
      </c>
      <c r="AI434" t="n">
        <v>4</v>
      </c>
      <c r="AJ434" t="n">
        <v>5</v>
      </c>
      <c r="AK434" t="n">
        <v>11</v>
      </c>
      <c r="AL434" t="n">
        <v>2</v>
      </c>
      <c r="AM434" t="n">
        <v>2</v>
      </c>
      <c r="AN434" t="n">
        <v>0</v>
      </c>
      <c r="AO434" t="n">
        <v>0</v>
      </c>
      <c r="AP434" t="inlineStr">
        <is>
          <t>No</t>
        </is>
      </c>
      <c r="AQ434" t="inlineStr">
        <is>
          <t>No</t>
        </is>
      </c>
      <c r="AS434">
        <f>HYPERLINK("https://creighton-primo.hosted.exlibrisgroup.com/primo-explore/search?tab=default_tab&amp;search_scope=EVERYTHING&amp;vid=01CRU&amp;lang=en_US&amp;offset=0&amp;query=any,contains,991003999009702656","Catalog Record")</f>
        <v/>
      </c>
      <c r="AT434">
        <f>HYPERLINK("http://www.worldcat.org/oclc/42786282","WorldCat Record")</f>
        <v/>
      </c>
      <c r="AU434" t="inlineStr">
        <is>
          <t>3943548199:eng</t>
        </is>
      </c>
      <c r="AV434" t="inlineStr">
        <is>
          <t>42786282</t>
        </is>
      </c>
      <c r="AW434" t="inlineStr">
        <is>
          <t>991003999009702656</t>
        </is>
      </c>
      <c r="AX434" t="inlineStr">
        <is>
          <t>991003999009702656</t>
        </is>
      </c>
      <c r="AY434" t="inlineStr">
        <is>
          <t>2267075780002656</t>
        </is>
      </c>
      <c r="AZ434" t="inlineStr">
        <is>
          <t>BOOK</t>
        </is>
      </c>
      <c r="BB434" t="inlineStr">
        <is>
          <t>9780471490371</t>
        </is>
      </c>
      <c r="BC434" t="inlineStr">
        <is>
          <t>32285004685813</t>
        </is>
      </c>
      <c r="BD434" t="inlineStr">
        <is>
          <t>893618093</t>
        </is>
      </c>
    </row>
    <row r="435">
      <c r="A435" t="inlineStr">
        <is>
          <t>No</t>
        </is>
      </c>
      <c r="B435" t="inlineStr">
        <is>
          <t>QD151.2 .O95 1991</t>
        </is>
      </c>
      <c r="C435" t="inlineStr">
        <is>
          <t>0                      QD 0151200O  95          1991</t>
        </is>
      </c>
      <c r="D435" t="inlineStr">
        <is>
          <t>A guide to modern inorganic chemistry / S.M. Owen and A.T. Brooker.</t>
        </is>
      </c>
      <c r="F435" t="inlineStr">
        <is>
          <t>No</t>
        </is>
      </c>
      <c r="G435" t="inlineStr">
        <is>
          <t>1</t>
        </is>
      </c>
      <c r="H435" t="inlineStr">
        <is>
          <t>No</t>
        </is>
      </c>
      <c r="I435" t="inlineStr">
        <is>
          <t>No</t>
        </is>
      </c>
      <c r="J435" t="inlineStr">
        <is>
          <t>0</t>
        </is>
      </c>
      <c r="K435" t="inlineStr">
        <is>
          <t>Owen, S. M. (Steven Michael), 1964-</t>
        </is>
      </c>
      <c r="L435" t="inlineStr">
        <is>
          <t>Harlow, Essex, England : Longman Scientific &amp; Technical ; New York, NY : Wiley, 1991.</t>
        </is>
      </c>
      <c r="M435" t="inlineStr">
        <is>
          <t>1991</t>
        </is>
      </c>
      <c r="O435" t="inlineStr">
        <is>
          <t>eng</t>
        </is>
      </c>
      <c r="P435" t="inlineStr">
        <is>
          <t>enk</t>
        </is>
      </c>
      <c r="R435" t="inlineStr">
        <is>
          <t xml:space="preserve">QD </t>
        </is>
      </c>
      <c r="S435" t="n">
        <v>21</v>
      </c>
      <c r="T435" t="n">
        <v>21</v>
      </c>
      <c r="U435" t="inlineStr">
        <is>
          <t>2004-11-29</t>
        </is>
      </c>
      <c r="V435" t="inlineStr">
        <is>
          <t>2004-11-29</t>
        </is>
      </c>
      <c r="W435" t="inlineStr">
        <is>
          <t>1992-02-21</t>
        </is>
      </c>
      <c r="X435" t="inlineStr">
        <is>
          <t>1992-02-21</t>
        </is>
      </c>
      <c r="Y435" t="n">
        <v>345</v>
      </c>
      <c r="Z435" t="n">
        <v>197</v>
      </c>
      <c r="AA435" t="n">
        <v>202</v>
      </c>
      <c r="AB435" t="n">
        <v>2</v>
      </c>
      <c r="AC435" t="n">
        <v>2</v>
      </c>
      <c r="AD435" t="n">
        <v>12</v>
      </c>
      <c r="AE435" t="n">
        <v>12</v>
      </c>
      <c r="AF435" t="n">
        <v>5</v>
      </c>
      <c r="AG435" t="n">
        <v>5</v>
      </c>
      <c r="AH435" t="n">
        <v>5</v>
      </c>
      <c r="AI435" t="n">
        <v>5</v>
      </c>
      <c r="AJ435" t="n">
        <v>6</v>
      </c>
      <c r="AK435" t="n">
        <v>6</v>
      </c>
      <c r="AL435" t="n">
        <v>1</v>
      </c>
      <c r="AM435" t="n">
        <v>1</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HYPERLINK("https://creighton-primo.hosted.exlibrisgroup.com/primo-explore/search?tab=default_tab&amp;search_scope=EVERYTHING&amp;vid=01CRU&amp;lang=en_US&amp;offset=0&amp;query=any,contains,991001751369702656","Catalog Record")</f>
        <v/>
      </c>
      <c r="AT435">
        <f>HYPERLINK("http://www.worldcat.org/oclc/22182712","WorldCat Record")</f>
        <v/>
      </c>
      <c r="AU435" t="inlineStr">
        <is>
          <t>61573095:eng</t>
        </is>
      </c>
      <c r="AV435" t="inlineStr">
        <is>
          <t>22182712</t>
        </is>
      </c>
      <c r="AW435" t="inlineStr">
        <is>
          <t>991001751369702656</t>
        </is>
      </c>
      <c r="AX435" t="inlineStr">
        <is>
          <t>991001751369702656</t>
        </is>
      </c>
      <c r="AY435" t="inlineStr">
        <is>
          <t>2259800810002656</t>
        </is>
      </c>
      <c r="AZ435" t="inlineStr">
        <is>
          <t>BOOK</t>
        </is>
      </c>
      <c r="BB435" t="inlineStr">
        <is>
          <t>9780470216941</t>
        </is>
      </c>
      <c r="BC435" t="inlineStr">
        <is>
          <t>32285000935394</t>
        </is>
      </c>
      <c r="BD435" t="inlineStr">
        <is>
          <t>893322216</t>
        </is>
      </c>
    </row>
    <row r="436">
      <c r="A436" t="inlineStr">
        <is>
          <t>No</t>
        </is>
      </c>
      <c r="B436" t="inlineStr">
        <is>
          <t>QD151.2 .P88</t>
        </is>
      </c>
      <c r="C436" t="inlineStr">
        <is>
          <t>0                      QD 0151200P  88</t>
        </is>
      </c>
      <c r="D436" t="inlineStr">
        <is>
          <t>An introduction to inorganic chemistry / Keith F. Purcell, John C. Kotz ; [cover ill. by Joanne Shultis].</t>
        </is>
      </c>
      <c r="F436" t="inlineStr">
        <is>
          <t>No</t>
        </is>
      </c>
      <c r="G436" t="inlineStr">
        <is>
          <t>1</t>
        </is>
      </c>
      <c r="H436" t="inlineStr">
        <is>
          <t>No</t>
        </is>
      </c>
      <c r="I436" t="inlineStr">
        <is>
          <t>No</t>
        </is>
      </c>
      <c r="J436" t="inlineStr">
        <is>
          <t>0</t>
        </is>
      </c>
      <c r="K436" t="inlineStr">
        <is>
          <t>Purcell, Keith F., 1932-</t>
        </is>
      </c>
      <c r="L436" t="inlineStr">
        <is>
          <t>Philadelphia : Saunders College, 1980.</t>
        </is>
      </c>
      <c r="M436" t="inlineStr">
        <is>
          <t>1980</t>
        </is>
      </c>
      <c r="O436" t="inlineStr">
        <is>
          <t>eng</t>
        </is>
      </c>
      <c r="P436" t="inlineStr">
        <is>
          <t>pau</t>
        </is>
      </c>
      <c r="Q436" t="inlineStr">
        <is>
          <t>Saunders golden sunburst series</t>
        </is>
      </c>
      <c r="R436" t="inlineStr">
        <is>
          <t xml:space="preserve">QD </t>
        </is>
      </c>
      <c r="S436" t="n">
        <v>10</v>
      </c>
      <c r="T436" t="n">
        <v>10</v>
      </c>
      <c r="U436" t="inlineStr">
        <is>
          <t>1998-09-13</t>
        </is>
      </c>
      <c r="V436" t="inlineStr">
        <is>
          <t>1998-09-13</t>
        </is>
      </c>
      <c r="W436" t="inlineStr">
        <is>
          <t>1992-10-27</t>
        </is>
      </c>
      <c r="X436" t="inlineStr">
        <is>
          <t>1992-10-27</t>
        </is>
      </c>
      <c r="Y436" t="n">
        <v>260</v>
      </c>
      <c r="Z436" t="n">
        <v>152</v>
      </c>
      <c r="AA436" t="n">
        <v>407</v>
      </c>
      <c r="AB436" t="n">
        <v>1</v>
      </c>
      <c r="AC436" t="n">
        <v>4</v>
      </c>
      <c r="AD436" t="n">
        <v>7</v>
      </c>
      <c r="AE436" t="n">
        <v>22</v>
      </c>
      <c r="AF436" t="n">
        <v>2</v>
      </c>
      <c r="AG436" t="n">
        <v>6</v>
      </c>
      <c r="AH436" t="n">
        <v>2</v>
      </c>
      <c r="AI436" t="n">
        <v>5</v>
      </c>
      <c r="AJ436" t="n">
        <v>5</v>
      </c>
      <c r="AK436" t="n">
        <v>14</v>
      </c>
      <c r="AL436" t="n">
        <v>0</v>
      </c>
      <c r="AM436" t="n">
        <v>3</v>
      </c>
      <c r="AN436" t="n">
        <v>0</v>
      </c>
      <c r="AO436" t="n">
        <v>0</v>
      </c>
      <c r="AP436" t="inlineStr">
        <is>
          <t>No</t>
        </is>
      </c>
      <c r="AQ436" t="inlineStr">
        <is>
          <t>Yes</t>
        </is>
      </c>
      <c r="AR436">
        <f>HYPERLINK("http://catalog.hathitrust.org/Record/000718196","HathiTrust Record")</f>
        <v/>
      </c>
      <c r="AS436">
        <f>HYPERLINK("https://creighton-primo.hosted.exlibrisgroup.com/primo-explore/search?tab=default_tab&amp;search_scope=EVERYTHING&amp;vid=01CRU&amp;lang=en_US&amp;offset=0&amp;query=any,contains,991004982599702656","Catalog Record")</f>
        <v/>
      </c>
      <c r="AT436">
        <f>HYPERLINK("http://www.worldcat.org/oclc/6430877","WorldCat Record")</f>
        <v/>
      </c>
      <c r="AU436" t="inlineStr">
        <is>
          <t>4916538052:eng</t>
        </is>
      </c>
      <c r="AV436" t="inlineStr">
        <is>
          <t>6430877</t>
        </is>
      </c>
      <c r="AW436" t="inlineStr">
        <is>
          <t>991004982599702656</t>
        </is>
      </c>
      <c r="AX436" t="inlineStr">
        <is>
          <t>991004982599702656</t>
        </is>
      </c>
      <c r="AY436" t="inlineStr">
        <is>
          <t>2258111650002656</t>
        </is>
      </c>
      <c r="AZ436" t="inlineStr">
        <is>
          <t>BOOK</t>
        </is>
      </c>
      <c r="BB436" t="inlineStr">
        <is>
          <t>9780030567681</t>
        </is>
      </c>
      <c r="BC436" t="inlineStr">
        <is>
          <t>32285001385946</t>
        </is>
      </c>
      <c r="BD436" t="inlineStr">
        <is>
          <t>893619287</t>
        </is>
      </c>
    </row>
    <row r="437">
      <c r="A437" t="inlineStr">
        <is>
          <t>No</t>
        </is>
      </c>
      <c r="B437" t="inlineStr">
        <is>
          <t>QD151.2 .S92 1990</t>
        </is>
      </c>
      <c r="C437" t="inlineStr">
        <is>
          <t>0                      QD 0151200S  92          1990</t>
        </is>
      </c>
      <c r="D437" t="inlineStr">
        <is>
          <t>Applied inorganic chemistry / T.W. Swaddle.</t>
        </is>
      </c>
      <c r="F437" t="inlineStr">
        <is>
          <t>No</t>
        </is>
      </c>
      <c r="G437" t="inlineStr">
        <is>
          <t>1</t>
        </is>
      </c>
      <c r="H437" t="inlineStr">
        <is>
          <t>No</t>
        </is>
      </c>
      <c r="I437" t="inlineStr">
        <is>
          <t>No</t>
        </is>
      </c>
      <c r="J437" t="inlineStr">
        <is>
          <t>0</t>
        </is>
      </c>
      <c r="K437" t="inlineStr">
        <is>
          <t>Swaddle, T. W. (Thomas Wilson), 1937-</t>
        </is>
      </c>
      <c r="L437" t="inlineStr">
        <is>
          <t>Calgary : University of Calgary Press, c1990.</t>
        </is>
      </c>
      <c r="M437" t="inlineStr">
        <is>
          <t>1990</t>
        </is>
      </c>
      <c r="O437" t="inlineStr">
        <is>
          <t>eng</t>
        </is>
      </c>
      <c r="P437" t="inlineStr">
        <is>
          <t>abc</t>
        </is>
      </c>
      <c r="R437" t="inlineStr">
        <is>
          <t xml:space="preserve">QD </t>
        </is>
      </c>
      <c r="S437" t="n">
        <v>9</v>
      </c>
      <c r="T437" t="n">
        <v>9</v>
      </c>
      <c r="U437" t="inlineStr">
        <is>
          <t>1994-12-01</t>
        </is>
      </c>
      <c r="V437" t="inlineStr">
        <is>
          <t>1994-12-01</t>
        </is>
      </c>
      <c r="W437" t="inlineStr">
        <is>
          <t>1992-09-14</t>
        </is>
      </c>
      <c r="X437" t="inlineStr">
        <is>
          <t>1992-09-14</t>
        </is>
      </c>
      <c r="Y437" t="n">
        <v>184</v>
      </c>
      <c r="Z437" t="n">
        <v>138</v>
      </c>
      <c r="AA437" t="n">
        <v>140</v>
      </c>
      <c r="AB437" t="n">
        <v>1</v>
      </c>
      <c r="AC437" t="n">
        <v>1</v>
      </c>
      <c r="AD437" t="n">
        <v>10</v>
      </c>
      <c r="AE437" t="n">
        <v>10</v>
      </c>
      <c r="AF437" t="n">
        <v>3</v>
      </c>
      <c r="AG437" t="n">
        <v>3</v>
      </c>
      <c r="AH437" t="n">
        <v>4</v>
      </c>
      <c r="AI437" t="n">
        <v>4</v>
      </c>
      <c r="AJ437" t="n">
        <v>6</v>
      </c>
      <c r="AK437" t="n">
        <v>6</v>
      </c>
      <c r="AL437" t="n">
        <v>0</v>
      </c>
      <c r="AM437" t="n">
        <v>0</v>
      </c>
      <c r="AN437" t="n">
        <v>0</v>
      </c>
      <c r="AO437" t="n">
        <v>0</v>
      </c>
      <c r="AP437" t="inlineStr">
        <is>
          <t>No</t>
        </is>
      </c>
      <c r="AQ437" t="inlineStr">
        <is>
          <t>Yes</t>
        </is>
      </c>
      <c r="AR437">
        <f>HYPERLINK("http://catalog.hathitrust.org/Record/009923143","HathiTrust Record")</f>
        <v/>
      </c>
      <c r="AS437">
        <f>HYPERLINK("https://creighton-primo.hosted.exlibrisgroup.com/primo-explore/search?tab=default_tab&amp;search_scope=EVERYTHING&amp;vid=01CRU&amp;lang=en_US&amp;offset=0&amp;query=any,contains,991001597639702656","Catalog Record")</f>
        <v/>
      </c>
      <c r="AT437">
        <f>HYPERLINK("http://www.worldcat.org/oclc/20630834","WorldCat Record")</f>
        <v/>
      </c>
      <c r="AU437" t="inlineStr">
        <is>
          <t>22494580:eng</t>
        </is>
      </c>
      <c r="AV437" t="inlineStr">
        <is>
          <t>20630834</t>
        </is>
      </c>
      <c r="AW437" t="inlineStr">
        <is>
          <t>991001597639702656</t>
        </is>
      </c>
      <c r="AX437" t="inlineStr">
        <is>
          <t>991001597639702656</t>
        </is>
      </c>
      <c r="AY437" t="inlineStr">
        <is>
          <t>2263348560002656</t>
        </is>
      </c>
      <c r="AZ437" t="inlineStr">
        <is>
          <t>BOOK</t>
        </is>
      </c>
      <c r="BB437" t="inlineStr">
        <is>
          <t>9780919813588</t>
        </is>
      </c>
      <c r="BC437" t="inlineStr">
        <is>
          <t>32285001287324</t>
        </is>
      </c>
      <c r="BD437" t="inlineStr">
        <is>
          <t>893615224</t>
        </is>
      </c>
    </row>
    <row r="438">
      <c r="A438" t="inlineStr">
        <is>
          <t>No</t>
        </is>
      </c>
      <c r="B438" t="inlineStr">
        <is>
          <t>QD151.3 .H46 2002</t>
        </is>
      </c>
      <c r="C438" t="inlineStr">
        <is>
          <t>0                      QD 0151300H  46          2002</t>
        </is>
      </c>
      <c r="D438" t="inlineStr">
        <is>
          <t>Main group chemistry / William Henderson.</t>
        </is>
      </c>
      <c r="F438" t="inlineStr">
        <is>
          <t>No</t>
        </is>
      </c>
      <c r="G438" t="inlineStr">
        <is>
          <t>1</t>
        </is>
      </c>
      <c r="H438" t="inlineStr">
        <is>
          <t>No</t>
        </is>
      </c>
      <c r="I438" t="inlineStr">
        <is>
          <t>No</t>
        </is>
      </c>
      <c r="J438" t="inlineStr">
        <is>
          <t>0</t>
        </is>
      </c>
      <c r="K438" t="inlineStr">
        <is>
          <t>Henderson, W., 1963-</t>
        </is>
      </c>
      <c r="L438" t="inlineStr">
        <is>
          <t>New York : Wiley-Interscience ; [Cambridge, England] : RS.C c2002.</t>
        </is>
      </c>
      <c r="M438" t="inlineStr">
        <is>
          <t>2002</t>
        </is>
      </c>
      <c r="O438" t="inlineStr">
        <is>
          <t>eng</t>
        </is>
      </c>
      <c r="P438" t="inlineStr">
        <is>
          <t>nyu</t>
        </is>
      </c>
      <c r="Q438" t="inlineStr">
        <is>
          <t>Basic concepts in chemistry</t>
        </is>
      </c>
      <c r="R438" t="inlineStr">
        <is>
          <t xml:space="preserve">QD </t>
        </is>
      </c>
      <c r="S438" t="n">
        <v>5</v>
      </c>
      <c r="T438" t="n">
        <v>5</v>
      </c>
      <c r="U438" t="inlineStr">
        <is>
          <t>2004-08-10</t>
        </is>
      </c>
      <c r="V438" t="inlineStr">
        <is>
          <t>2004-08-10</t>
        </is>
      </c>
      <c r="W438" t="inlineStr">
        <is>
          <t>2003-11-17</t>
        </is>
      </c>
      <c r="X438" t="inlineStr">
        <is>
          <t>2003-11-17</t>
        </is>
      </c>
      <c r="Y438" t="n">
        <v>206</v>
      </c>
      <c r="Z438" t="n">
        <v>155</v>
      </c>
      <c r="AA438" t="n">
        <v>230</v>
      </c>
      <c r="AB438" t="n">
        <v>1</v>
      </c>
      <c r="AC438" t="n">
        <v>2</v>
      </c>
      <c r="AD438" t="n">
        <v>6</v>
      </c>
      <c r="AE438" t="n">
        <v>10</v>
      </c>
      <c r="AF438" t="n">
        <v>2</v>
      </c>
      <c r="AG438" t="n">
        <v>3</v>
      </c>
      <c r="AH438" t="n">
        <v>3</v>
      </c>
      <c r="AI438" t="n">
        <v>3</v>
      </c>
      <c r="AJ438" t="n">
        <v>2</v>
      </c>
      <c r="AK438" t="n">
        <v>4</v>
      </c>
      <c r="AL438" t="n">
        <v>0</v>
      </c>
      <c r="AM438" t="n">
        <v>1</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HYPERLINK("https://creighton-primo.hosted.exlibrisgroup.com/primo-explore/search?tab=default_tab&amp;search_scope=EVERYTHING&amp;vid=01CRU&amp;lang=en_US&amp;offset=0&amp;query=any,contains,991004183209702656","Catalog Record")</f>
        <v/>
      </c>
      <c r="AT438">
        <f>HYPERLINK("http://www.worldcat.org/oclc/49664337","WorldCat Record")</f>
        <v/>
      </c>
      <c r="AU438" t="inlineStr">
        <is>
          <t>44407766:eng</t>
        </is>
      </c>
      <c r="AV438" t="inlineStr">
        <is>
          <t>49664337</t>
        </is>
      </c>
      <c r="AW438" t="inlineStr">
        <is>
          <t>991004183209702656</t>
        </is>
      </c>
      <c r="AX438" t="inlineStr">
        <is>
          <t>991004183209702656</t>
        </is>
      </c>
      <c r="AY438" t="inlineStr">
        <is>
          <t>2263255660002656</t>
        </is>
      </c>
      <c r="AZ438" t="inlineStr">
        <is>
          <t>BOOK</t>
        </is>
      </c>
      <c r="BB438" t="inlineStr">
        <is>
          <t>9780471224785</t>
        </is>
      </c>
      <c r="BC438" t="inlineStr">
        <is>
          <t>32285004798855</t>
        </is>
      </c>
      <c r="BD438" t="inlineStr">
        <is>
          <t>893349713</t>
        </is>
      </c>
    </row>
    <row r="439">
      <c r="A439" t="inlineStr">
        <is>
          <t>No</t>
        </is>
      </c>
      <c r="B439" t="inlineStr">
        <is>
          <t>QD151.3 .M8513 2007</t>
        </is>
      </c>
      <c r="C439" t="inlineStr">
        <is>
          <t>0                      QD 0151300M  8513        2007</t>
        </is>
      </c>
      <c r="D439" t="inlineStr">
        <is>
          <t>Inorganic structural chemistry / Ulrich Müller.</t>
        </is>
      </c>
      <c r="F439" t="inlineStr">
        <is>
          <t>No</t>
        </is>
      </c>
      <c r="G439" t="inlineStr">
        <is>
          <t>1</t>
        </is>
      </c>
      <c r="H439" t="inlineStr">
        <is>
          <t>No</t>
        </is>
      </c>
      <c r="I439" t="inlineStr">
        <is>
          <t>No</t>
        </is>
      </c>
      <c r="J439" t="inlineStr">
        <is>
          <t>0</t>
        </is>
      </c>
      <c r="K439" t="inlineStr">
        <is>
          <t>Müller, Ulrich, 1940 July 6-</t>
        </is>
      </c>
      <c r="L439" t="inlineStr">
        <is>
          <t>Chichester, England ; Hoboken, NJ : Wiley, c2007.</t>
        </is>
      </c>
      <c r="M439" t="inlineStr">
        <is>
          <t>2007</t>
        </is>
      </c>
      <c r="N439" t="inlineStr">
        <is>
          <t>2nd ed.</t>
        </is>
      </c>
      <c r="O439" t="inlineStr">
        <is>
          <t>eng</t>
        </is>
      </c>
      <c r="P439" t="inlineStr">
        <is>
          <t>enk</t>
        </is>
      </c>
      <c r="Q439" t="inlineStr">
        <is>
          <t>Inorganic chemistry</t>
        </is>
      </c>
      <c r="R439" t="inlineStr">
        <is>
          <t xml:space="preserve">QD </t>
        </is>
      </c>
      <c r="S439" t="n">
        <v>1</v>
      </c>
      <c r="T439" t="n">
        <v>1</v>
      </c>
      <c r="U439" t="inlineStr">
        <is>
          <t>2007-12-18</t>
        </is>
      </c>
      <c r="V439" t="inlineStr">
        <is>
          <t>2007-12-18</t>
        </is>
      </c>
      <c r="W439" t="inlineStr">
        <is>
          <t>2007-12-18</t>
        </is>
      </c>
      <c r="X439" t="inlineStr">
        <is>
          <t>2007-12-18</t>
        </is>
      </c>
      <c r="Y439" t="n">
        <v>358</v>
      </c>
      <c r="Z439" t="n">
        <v>244</v>
      </c>
      <c r="AA439" t="n">
        <v>497</v>
      </c>
      <c r="AB439" t="n">
        <v>3</v>
      </c>
      <c r="AC439" t="n">
        <v>5</v>
      </c>
      <c r="AD439" t="n">
        <v>19</v>
      </c>
      <c r="AE439" t="n">
        <v>28</v>
      </c>
      <c r="AF439" t="n">
        <v>8</v>
      </c>
      <c r="AG439" t="n">
        <v>10</v>
      </c>
      <c r="AH439" t="n">
        <v>4</v>
      </c>
      <c r="AI439" t="n">
        <v>6</v>
      </c>
      <c r="AJ439" t="n">
        <v>12</v>
      </c>
      <c r="AK439" t="n">
        <v>16</v>
      </c>
      <c r="AL439" t="n">
        <v>2</v>
      </c>
      <c r="AM439" t="n">
        <v>4</v>
      </c>
      <c r="AN439" t="n">
        <v>0</v>
      </c>
      <c r="AO439" t="n">
        <v>0</v>
      </c>
      <c r="AP439" t="inlineStr">
        <is>
          <t>No</t>
        </is>
      </c>
      <c r="AQ439" t="inlineStr">
        <is>
          <t>No</t>
        </is>
      </c>
      <c r="AS439">
        <f>HYPERLINK("https://creighton-primo.hosted.exlibrisgroup.com/primo-explore/search?tab=default_tab&amp;search_scope=EVERYTHING&amp;vid=01CRU&amp;lang=en_US&amp;offset=0&amp;query=any,contains,991005149789702656","Catalog Record")</f>
        <v/>
      </c>
      <c r="AT439">
        <f>HYPERLINK("http://www.worldcat.org/oclc/70230778","WorldCat Record")</f>
        <v/>
      </c>
      <c r="AU439" t="inlineStr">
        <is>
          <t>29050096:eng</t>
        </is>
      </c>
      <c r="AV439" t="inlineStr">
        <is>
          <t>70230778</t>
        </is>
      </c>
      <c r="AW439" t="inlineStr">
        <is>
          <t>991005149789702656</t>
        </is>
      </c>
      <c r="AX439" t="inlineStr">
        <is>
          <t>991005149789702656</t>
        </is>
      </c>
      <c r="AY439" t="inlineStr">
        <is>
          <t>2265612660002656</t>
        </is>
      </c>
      <c r="AZ439" t="inlineStr">
        <is>
          <t>BOOK</t>
        </is>
      </c>
      <c r="BB439" t="inlineStr">
        <is>
          <t>9780470018644</t>
        </is>
      </c>
      <c r="BC439" t="inlineStr">
        <is>
          <t>32285005374367</t>
        </is>
      </c>
      <c r="BD439" t="inlineStr">
        <is>
          <t>893707352</t>
        </is>
      </c>
    </row>
    <row r="440">
      <c r="A440" t="inlineStr">
        <is>
          <t>No</t>
        </is>
      </c>
      <c r="B440" t="inlineStr">
        <is>
          <t>QD151.5 .S65 1990</t>
        </is>
      </c>
      <c r="C440" t="inlineStr">
        <is>
          <t>0                      QD 0151500S  65          1990</t>
        </is>
      </c>
      <c r="D440" t="inlineStr">
        <is>
          <t>Inorganic substances : a prelude to the study of descriptive inorganic chemistry / Derek W. Smith.</t>
        </is>
      </c>
      <c r="F440" t="inlineStr">
        <is>
          <t>No</t>
        </is>
      </c>
      <c r="G440" t="inlineStr">
        <is>
          <t>1</t>
        </is>
      </c>
      <c r="H440" t="inlineStr">
        <is>
          <t>No</t>
        </is>
      </c>
      <c r="I440" t="inlineStr">
        <is>
          <t>No</t>
        </is>
      </c>
      <c r="J440" t="inlineStr">
        <is>
          <t>0</t>
        </is>
      </c>
      <c r="K440" t="inlineStr">
        <is>
          <t>Smith, Derek W. (Derek William), 1943-</t>
        </is>
      </c>
      <c r="L440" t="inlineStr">
        <is>
          <t>Cambridge [England] ; New York : Cambridge University Press, 1990.</t>
        </is>
      </c>
      <c r="M440" t="inlineStr">
        <is>
          <t>1990</t>
        </is>
      </c>
      <c r="O440" t="inlineStr">
        <is>
          <t>eng</t>
        </is>
      </c>
      <c r="P440" t="inlineStr">
        <is>
          <t>enk</t>
        </is>
      </c>
      <c r="R440" t="inlineStr">
        <is>
          <t xml:space="preserve">QD </t>
        </is>
      </c>
      <c r="S440" t="n">
        <v>3</v>
      </c>
      <c r="T440" t="n">
        <v>3</v>
      </c>
      <c r="U440" t="inlineStr">
        <is>
          <t>1998-09-13</t>
        </is>
      </c>
      <c r="V440" t="inlineStr">
        <is>
          <t>1998-09-13</t>
        </is>
      </c>
      <c r="W440" t="inlineStr">
        <is>
          <t>1990-06-04</t>
        </is>
      </c>
      <c r="X440" t="inlineStr">
        <is>
          <t>1990-06-04</t>
        </is>
      </c>
      <c r="Y440" t="n">
        <v>323</v>
      </c>
      <c r="Z440" t="n">
        <v>218</v>
      </c>
      <c r="AA440" t="n">
        <v>238</v>
      </c>
      <c r="AB440" t="n">
        <v>3</v>
      </c>
      <c r="AC440" t="n">
        <v>3</v>
      </c>
      <c r="AD440" t="n">
        <v>16</v>
      </c>
      <c r="AE440" t="n">
        <v>16</v>
      </c>
      <c r="AF440" t="n">
        <v>6</v>
      </c>
      <c r="AG440" t="n">
        <v>6</v>
      </c>
      <c r="AH440" t="n">
        <v>3</v>
      </c>
      <c r="AI440" t="n">
        <v>3</v>
      </c>
      <c r="AJ440" t="n">
        <v>9</v>
      </c>
      <c r="AK440" t="n">
        <v>9</v>
      </c>
      <c r="AL440" t="n">
        <v>2</v>
      </c>
      <c r="AM440" t="n">
        <v>2</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HYPERLINK("https://creighton-primo.hosted.exlibrisgroup.com/primo-explore/search?tab=default_tab&amp;search_scope=EVERYTHING&amp;vid=01CRU&amp;lang=en_US&amp;offset=0&amp;query=any,contains,991001411899702656","Catalog Record")</f>
        <v/>
      </c>
      <c r="AT440">
        <f>HYPERLINK("http://www.worldcat.org/oclc/18908311","WorldCat Record")</f>
        <v/>
      </c>
      <c r="AU440" t="inlineStr">
        <is>
          <t>807142096:eng</t>
        </is>
      </c>
      <c r="AV440" t="inlineStr">
        <is>
          <t>18908311</t>
        </is>
      </c>
      <c r="AW440" t="inlineStr">
        <is>
          <t>991001411899702656</t>
        </is>
      </c>
      <c r="AX440" t="inlineStr">
        <is>
          <t>991001411899702656</t>
        </is>
      </c>
      <c r="AY440" t="inlineStr">
        <is>
          <t>2255706650002656</t>
        </is>
      </c>
      <c r="AZ440" t="inlineStr">
        <is>
          <t>BOOK</t>
        </is>
      </c>
      <c r="BB440" t="inlineStr">
        <is>
          <t>9780521337380</t>
        </is>
      </c>
      <c r="BC440" t="inlineStr">
        <is>
          <t>32285000158203</t>
        </is>
      </c>
      <c r="BD440" t="inlineStr">
        <is>
          <t>893315763</t>
        </is>
      </c>
    </row>
    <row r="441">
      <c r="A441" t="inlineStr">
        <is>
          <t>No</t>
        </is>
      </c>
      <c r="B441" t="inlineStr">
        <is>
          <t>QD151.5 .W84 2000</t>
        </is>
      </c>
      <c r="C441" t="inlineStr">
        <is>
          <t>0                      QD 0151500W  84          2000</t>
        </is>
      </c>
      <c r="D441" t="inlineStr">
        <is>
          <t>Inorganic chemistry / Gary Wulfsberg.</t>
        </is>
      </c>
      <c r="F441" t="inlineStr">
        <is>
          <t>No</t>
        </is>
      </c>
      <c r="G441" t="inlineStr">
        <is>
          <t>1</t>
        </is>
      </c>
      <c r="H441" t="inlineStr">
        <is>
          <t>No</t>
        </is>
      </c>
      <c r="I441" t="inlineStr">
        <is>
          <t>No</t>
        </is>
      </c>
      <c r="J441" t="inlineStr">
        <is>
          <t>0</t>
        </is>
      </c>
      <c r="K441" t="inlineStr">
        <is>
          <t>Wulfsberg, Gary, 1944-</t>
        </is>
      </c>
      <c r="L441" t="inlineStr">
        <is>
          <t>Sausalito, Calif. : University Science Books, c2000.</t>
        </is>
      </c>
      <c r="M441" t="inlineStr">
        <is>
          <t>2000</t>
        </is>
      </c>
      <c r="O441" t="inlineStr">
        <is>
          <t>eng</t>
        </is>
      </c>
      <c r="P441" t="inlineStr">
        <is>
          <t>cau</t>
        </is>
      </c>
      <c r="R441" t="inlineStr">
        <is>
          <t xml:space="preserve">QD </t>
        </is>
      </c>
      <c r="S441" t="n">
        <v>1</v>
      </c>
      <c r="T441" t="n">
        <v>1</v>
      </c>
      <c r="U441" t="inlineStr">
        <is>
          <t>2005-02-23</t>
        </is>
      </c>
      <c r="V441" t="inlineStr">
        <is>
          <t>2005-02-23</t>
        </is>
      </c>
      <c r="W441" t="inlineStr">
        <is>
          <t>2005-02-23</t>
        </is>
      </c>
      <c r="X441" t="inlineStr">
        <is>
          <t>2005-02-23</t>
        </is>
      </c>
      <c r="Y441" t="n">
        <v>211</v>
      </c>
      <c r="Z441" t="n">
        <v>133</v>
      </c>
      <c r="AA441" t="n">
        <v>134</v>
      </c>
      <c r="AB441" t="n">
        <v>2</v>
      </c>
      <c r="AC441" t="n">
        <v>2</v>
      </c>
      <c r="AD441" t="n">
        <v>7</v>
      </c>
      <c r="AE441" t="n">
        <v>7</v>
      </c>
      <c r="AF441" t="n">
        <v>3</v>
      </c>
      <c r="AG441" t="n">
        <v>3</v>
      </c>
      <c r="AH441" t="n">
        <v>2</v>
      </c>
      <c r="AI441" t="n">
        <v>2</v>
      </c>
      <c r="AJ441" t="n">
        <v>4</v>
      </c>
      <c r="AK441" t="n">
        <v>4</v>
      </c>
      <c r="AL441" t="n">
        <v>1</v>
      </c>
      <c r="AM441" t="n">
        <v>1</v>
      </c>
      <c r="AN441" t="n">
        <v>0</v>
      </c>
      <c r="AO441" t="n">
        <v>0</v>
      </c>
      <c r="AP441" t="inlineStr">
        <is>
          <t>No</t>
        </is>
      </c>
      <c r="AQ441" t="inlineStr">
        <is>
          <t>No</t>
        </is>
      </c>
      <c r="AS441">
        <f>HYPERLINK("https://creighton-primo.hosted.exlibrisgroup.com/primo-explore/search?tab=default_tab&amp;search_scope=EVERYTHING&amp;vid=01CRU&amp;lang=en_US&amp;offset=0&amp;query=any,contains,991004469609702656","Catalog Record")</f>
        <v/>
      </c>
      <c r="AT441">
        <f>HYPERLINK("http://www.worldcat.org/oclc/42682928","WorldCat Record")</f>
        <v/>
      </c>
      <c r="AU441" t="inlineStr">
        <is>
          <t>9235467:eng</t>
        </is>
      </c>
      <c r="AV441" t="inlineStr">
        <is>
          <t>42682928</t>
        </is>
      </c>
      <c r="AW441" t="inlineStr">
        <is>
          <t>991004469609702656</t>
        </is>
      </c>
      <c r="AX441" t="inlineStr">
        <is>
          <t>991004469609702656</t>
        </is>
      </c>
      <c r="AY441" t="inlineStr">
        <is>
          <t>2260663100002656</t>
        </is>
      </c>
      <c r="AZ441" t="inlineStr">
        <is>
          <t>BOOK</t>
        </is>
      </c>
      <c r="BB441" t="inlineStr">
        <is>
          <t>9781891389016</t>
        </is>
      </c>
      <c r="BC441" t="inlineStr">
        <is>
          <t>32285005026421</t>
        </is>
      </c>
      <c r="BD441" t="inlineStr">
        <is>
          <t>893442646</t>
        </is>
      </c>
    </row>
    <row r="442">
      <c r="A442" t="inlineStr">
        <is>
          <t>No</t>
        </is>
      </c>
      <c r="B442" t="inlineStr">
        <is>
          <t>QD153.5 .C69 2004</t>
        </is>
      </c>
      <c r="C442" t="inlineStr">
        <is>
          <t>0                      QD 0153500C  69          2004</t>
        </is>
      </c>
      <c r="D442" t="inlineStr">
        <is>
          <t>Inorganic chemistry / P.A. Cox.</t>
        </is>
      </c>
      <c r="F442" t="inlineStr">
        <is>
          <t>No</t>
        </is>
      </c>
      <c r="G442" t="inlineStr">
        <is>
          <t>1</t>
        </is>
      </c>
      <c r="H442" t="inlineStr">
        <is>
          <t>No</t>
        </is>
      </c>
      <c r="I442" t="inlineStr">
        <is>
          <t>No</t>
        </is>
      </c>
      <c r="J442" t="inlineStr">
        <is>
          <t>0</t>
        </is>
      </c>
      <c r="K442" t="inlineStr">
        <is>
          <t>Cox, P. A.</t>
        </is>
      </c>
      <c r="L442" t="inlineStr">
        <is>
          <t>London ; New York : Bios Scientific Publishers, 2004.</t>
        </is>
      </c>
      <c r="M442" t="inlineStr">
        <is>
          <t>2004</t>
        </is>
      </c>
      <c r="N442" t="inlineStr">
        <is>
          <t>2nd ed.</t>
        </is>
      </c>
      <c r="O442" t="inlineStr">
        <is>
          <t>eng</t>
        </is>
      </c>
      <c r="P442" t="inlineStr">
        <is>
          <t>enk</t>
        </is>
      </c>
      <c r="Q442" t="inlineStr">
        <is>
          <t>The instant notes chemistry series</t>
        </is>
      </c>
      <c r="R442" t="inlineStr">
        <is>
          <t xml:space="preserve">QD </t>
        </is>
      </c>
      <c r="S442" t="n">
        <v>2</v>
      </c>
      <c r="T442" t="n">
        <v>2</v>
      </c>
      <c r="U442" t="inlineStr">
        <is>
          <t>2005-02-07</t>
        </is>
      </c>
      <c r="V442" t="inlineStr">
        <is>
          <t>2005-02-07</t>
        </is>
      </c>
      <c r="W442" t="inlineStr">
        <is>
          <t>2005-02-07</t>
        </is>
      </c>
      <c r="X442" t="inlineStr">
        <is>
          <t>2005-02-07</t>
        </is>
      </c>
      <c r="Y442" t="n">
        <v>493</v>
      </c>
      <c r="Z442" t="n">
        <v>363</v>
      </c>
      <c r="AA442" t="n">
        <v>446</v>
      </c>
      <c r="AB442" t="n">
        <v>2</v>
      </c>
      <c r="AC442" t="n">
        <v>2</v>
      </c>
      <c r="AD442" t="n">
        <v>17</v>
      </c>
      <c r="AE442" t="n">
        <v>20</v>
      </c>
      <c r="AF442" t="n">
        <v>10</v>
      </c>
      <c r="AG442" t="n">
        <v>13</v>
      </c>
      <c r="AH442" t="n">
        <v>5</v>
      </c>
      <c r="AI442" t="n">
        <v>5</v>
      </c>
      <c r="AJ442" t="n">
        <v>5</v>
      </c>
      <c r="AK442" t="n">
        <v>7</v>
      </c>
      <c r="AL442" t="n">
        <v>1</v>
      </c>
      <c r="AM442" t="n">
        <v>1</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HYPERLINK("https://creighton-primo.hosted.exlibrisgroup.com/primo-explore/search?tab=default_tab&amp;search_scope=EVERYTHING&amp;vid=01CRU&amp;lang=en_US&amp;offset=0&amp;query=any,contains,991004436639702656","Catalog Record")</f>
        <v/>
      </c>
      <c r="AT442">
        <f>HYPERLINK("http://www.worldcat.org/oclc/53376131","WorldCat Record")</f>
        <v/>
      </c>
      <c r="AU442" t="inlineStr">
        <is>
          <t>5848:eng</t>
        </is>
      </c>
      <c r="AV442" t="inlineStr">
        <is>
          <t>53376131</t>
        </is>
      </c>
      <c r="AW442" t="inlineStr">
        <is>
          <t>991004436639702656</t>
        </is>
      </c>
      <c r="AX442" t="inlineStr">
        <is>
          <t>991004436639702656</t>
        </is>
      </c>
      <c r="AY442" t="inlineStr">
        <is>
          <t>2271283320002656</t>
        </is>
      </c>
      <c r="AZ442" t="inlineStr">
        <is>
          <t>BOOK</t>
        </is>
      </c>
      <c r="BB442" t="inlineStr">
        <is>
          <t>9781859962893</t>
        </is>
      </c>
      <c r="BC442" t="inlineStr">
        <is>
          <t>32285005024764</t>
        </is>
      </c>
      <c r="BD442" t="inlineStr">
        <is>
          <t>893706418</t>
        </is>
      </c>
    </row>
    <row r="443">
      <c r="A443" t="inlineStr">
        <is>
          <t>No</t>
        </is>
      </c>
      <c r="B443" t="inlineStr">
        <is>
          <t>QD155 .G57 1999</t>
        </is>
      </c>
      <c r="C443" t="inlineStr">
        <is>
          <t>0                      QD 0155000G  57          1999</t>
        </is>
      </c>
      <c r="D443" t="inlineStr">
        <is>
          <t>Synthesis and technique in inorganic chemistry : a laboratory manual.</t>
        </is>
      </c>
      <c r="F443" t="inlineStr">
        <is>
          <t>No</t>
        </is>
      </c>
      <c r="G443" t="inlineStr">
        <is>
          <t>1</t>
        </is>
      </c>
      <c r="H443" t="inlineStr">
        <is>
          <t>No</t>
        </is>
      </c>
      <c r="I443" t="inlineStr">
        <is>
          <t>No</t>
        </is>
      </c>
      <c r="J443" t="inlineStr">
        <is>
          <t>0</t>
        </is>
      </c>
      <c r="K443" t="inlineStr">
        <is>
          <t>Girolami, Gregory S., 1956-</t>
        </is>
      </c>
      <c r="L443" t="inlineStr">
        <is>
          <t>Sausalito, CA : University Science Books, c1999.</t>
        </is>
      </c>
      <c r="M443" t="inlineStr">
        <is>
          <t>1999</t>
        </is>
      </c>
      <c r="N443" t="inlineStr">
        <is>
          <t>3rd ed. / Gregory S. Girolami and Thomas B. Rauchfuss, Robert J. Angelici.</t>
        </is>
      </c>
      <c r="O443" t="inlineStr">
        <is>
          <t>eng</t>
        </is>
      </c>
      <c r="P443" t="inlineStr">
        <is>
          <t>cau</t>
        </is>
      </c>
      <c r="R443" t="inlineStr">
        <is>
          <t xml:space="preserve">QD </t>
        </is>
      </c>
      <c r="S443" t="n">
        <v>2</v>
      </c>
      <c r="T443" t="n">
        <v>2</v>
      </c>
      <c r="U443" t="inlineStr">
        <is>
          <t>2003-09-18</t>
        </is>
      </c>
      <c r="V443" t="inlineStr">
        <is>
          <t>2003-09-18</t>
        </is>
      </c>
      <c r="W443" t="inlineStr">
        <is>
          <t>2001-03-07</t>
        </is>
      </c>
      <c r="X443" t="inlineStr">
        <is>
          <t>2001-03-07</t>
        </is>
      </c>
      <c r="Y443" t="n">
        <v>322</v>
      </c>
      <c r="Z443" t="n">
        <v>228</v>
      </c>
      <c r="AA443" t="n">
        <v>230</v>
      </c>
      <c r="AB443" t="n">
        <v>1</v>
      </c>
      <c r="AC443" t="n">
        <v>1</v>
      </c>
      <c r="AD443" t="n">
        <v>15</v>
      </c>
      <c r="AE443" t="n">
        <v>15</v>
      </c>
      <c r="AF443" t="n">
        <v>11</v>
      </c>
      <c r="AG443" t="n">
        <v>11</v>
      </c>
      <c r="AH443" t="n">
        <v>4</v>
      </c>
      <c r="AI443" t="n">
        <v>4</v>
      </c>
      <c r="AJ443" t="n">
        <v>5</v>
      </c>
      <c r="AK443" t="n">
        <v>5</v>
      </c>
      <c r="AL443" t="n">
        <v>0</v>
      </c>
      <c r="AM443" t="n">
        <v>0</v>
      </c>
      <c r="AN443" t="n">
        <v>0</v>
      </c>
      <c r="AO443" t="n">
        <v>0</v>
      </c>
      <c r="AP443" t="inlineStr">
        <is>
          <t>No</t>
        </is>
      </c>
      <c r="AQ443" t="inlineStr">
        <is>
          <t>No</t>
        </is>
      </c>
      <c r="AS443">
        <f>HYPERLINK("https://creighton-primo.hosted.exlibrisgroup.com/primo-explore/search?tab=default_tab&amp;search_scope=EVERYTHING&amp;vid=01CRU&amp;lang=en_US&amp;offset=0&amp;query=any,contains,991003475599702656","Catalog Record")</f>
        <v/>
      </c>
      <c r="AT443">
        <f>HYPERLINK("http://www.worldcat.org/oclc/38495269","WorldCat Record")</f>
        <v/>
      </c>
      <c r="AU443" t="inlineStr">
        <is>
          <t>3769266291:eng</t>
        </is>
      </c>
      <c r="AV443" t="inlineStr">
        <is>
          <t>38495269</t>
        </is>
      </c>
      <c r="AW443" t="inlineStr">
        <is>
          <t>991003475599702656</t>
        </is>
      </c>
      <c r="AX443" t="inlineStr">
        <is>
          <t>991003475599702656</t>
        </is>
      </c>
      <c r="AY443" t="inlineStr">
        <is>
          <t>2270689380002656</t>
        </is>
      </c>
      <c r="AZ443" t="inlineStr">
        <is>
          <t>BOOK</t>
        </is>
      </c>
      <c r="BB443" t="inlineStr">
        <is>
          <t>9780935702484</t>
        </is>
      </c>
      <c r="BC443" t="inlineStr">
        <is>
          <t>32285004299581</t>
        </is>
      </c>
      <c r="BD443" t="inlineStr">
        <is>
          <t>893799758</t>
        </is>
      </c>
    </row>
    <row r="444">
      <c r="A444" t="inlineStr">
        <is>
          <t>No</t>
        </is>
      </c>
      <c r="B444" t="inlineStr">
        <is>
          <t>QD155 .P3 1974b</t>
        </is>
      </c>
      <c r="C444" t="inlineStr">
        <is>
          <t>0                      QD 0155000P  3           1974b</t>
        </is>
      </c>
      <c r="D444" t="inlineStr">
        <is>
          <t>Practical inorganic chemistry: preparations, reactions, and instrumental methods [by] Geoffrey Pass and Haydn Sutcliffe.</t>
        </is>
      </c>
      <c r="F444" t="inlineStr">
        <is>
          <t>No</t>
        </is>
      </c>
      <c r="G444" t="inlineStr">
        <is>
          <t>1</t>
        </is>
      </c>
      <c r="H444" t="inlineStr">
        <is>
          <t>No</t>
        </is>
      </c>
      <c r="I444" t="inlineStr">
        <is>
          <t>No</t>
        </is>
      </c>
      <c r="J444" t="inlineStr">
        <is>
          <t>0</t>
        </is>
      </c>
      <c r="K444" t="inlineStr">
        <is>
          <t>Pass, Geoffrey.</t>
        </is>
      </c>
      <c r="L444" t="inlineStr">
        <is>
          <t>London, Chapman and Hall; Halsted Press, New York [c1974, 1979 printing]</t>
        </is>
      </c>
      <c r="M444" t="inlineStr">
        <is>
          <t>1974</t>
        </is>
      </c>
      <c r="N444" t="inlineStr">
        <is>
          <t>2d ed.</t>
        </is>
      </c>
      <c r="O444" t="inlineStr">
        <is>
          <t>eng</t>
        </is>
      </c>
      <c r="P444" t="inlineStr">
        <is>
          <t>enk</t>
        </is>
      </c>
      <c r="R444" t="inlineStr">
        <is>
          <t xml:space="preserve">QD </t>
        </is>
      </c>
      <c r="S444" t="n">
        <v>13</v>
      </c>
      <c r="T444" t="n">
        <v>13</v>
      </c>
      <c r="U444" t="inlineStr">
        <is>
          <t>2000-02-16</t>
        </is>
      </c>
      <c r="V444" t="inlineStr">
        <is>
          <t>2000-02-16</t>
        </is>
      </c>
      <c r="W444" t="inlineStr">
        <is>
          <t>1993-08-19</t>
        </is>
      </c>
      <c r="X444" t="inlineStr">
        <is>
          <t>1993-08-19</t>
        </is>
      </c>
      <c r="Y444" t="n">
        <v>217</v>
      </c>
      <c r="Z444" t="n">
        <v>162</v>
      </c>
      <c r="AA444" t="n">
        <v>561</v>
      </c>
      <c r="AB444" t="n">
        <v>1</v>
      </c>
      <c r="AC444" t="n">
        <v>6</v>
      </c>
      <c r="AD444" t="n">
        <v>5</v>
      </c>
      <c r="AE444" t="n">
        <v>27</v>
      </c>
      <c r="AF444" t="n">
        <v>1</v>
      </c>
      <c r="AG444" t="n">
        <v>10</v>
      </c>
      <c r="AH444" t="n">
        <v>1</v>
      </c>
      <c r="AI444" t="n">
        <v>5</v>
      </c>
      <c r="AJ444" t="n">
        <v>4</v>
      </c>
      <c r="AK444" t="n">
        <v>14</v>
      </c>
      <c r="AL444" t="n">
        <v>0</v>
      </c>
      <c r="AM444" t="n">
        <v>5</v>
      </c>
      <c r="AN444" t="n">
        <v>0</v>
      </c>
      <c r="AO444" t="n">
        <v>0</v>
      </c>
      <c r="AP444" t="inlineStr">
        <is>
          <t>No</t>
        </is>
      </c>
      <c r="AQ444" t="inlineStr">
        <is>
          <t>Yes</t>
        </is>
      </c>
      <c r="AR444">
        <f>HYPERLINK("http://catalog.hathitrust.org/Record/001032993","HathiTrust Record")</f>
        <v/>
      </c>
      <c r="AS444">
        <f>HYPERLINK("https://creighton-primo.hosted.exlibrisgroup.com/primo-explore/search?tab=default_tab&amp;search_scope=EVERYTHING&amp;vid=01CRU&amp;lang=en_US&amp;offset=0&amp;query=any,contains,991003312429702656","Catalog Record")</f>
        <v/>
      </c>
      <c r="AT444">
        <f>HYPERLINK("http://www.worldcat.org/oclc/835434","WorldCat Record")</f>
        <v/>
      </c>
      <c r="AU444" t="inlineStr">
        <is>
          <t>1501605:eng</t>
        </is>
      </c>
      <c r="AV444" t="inlineStr">
        <is>
          <t>835434</t>
        </is>
      </c>
      <c r="AW444" t="inlineStr">
        <is>
          <t>991003312429702656</t>
        </is>
      </c>
      <c r="AX444" t="inlineStr">
        <is>
          <t>991003312429702656</t>
        </is>
      </c>
      <c r="AY444" t="inlineStr">
        <is>
          <t>2270421290002656</t>
        </is>
      </c>
      <c r="AZ444" t="inlineStr">
        <is>
          <t>BOOK</t>
        </is>
      </c>
      <c r="BB444" t="inlineStr">
        <is>
          <t>9780470668962</t>
        </is>
      </c>
      <c r="BC444" t="inlineStr">
        <is>
          <t>32285001754968</t>
        </is>
      </c>
      <c r="BD444" t="inlineStr">
        <is>
          <t>893252245</t>
        </is>
      </c>
    </row>
    <row r="445">
      <c r="A445" t="inlineStr">
        <is>
          <t>No</t>
        </is>
      </c>
      <c r="B445" t="inlineStr">
        <is>
          <t>QD155 .S3</t>
        </is>
      </c>
      <c r="C445" t="inlineStr">
        <is>
          <t>0                      QD 0155000S  3</t>
        </is>
      </c>
      <c r="D445" t="inlineStr">
        <is>
          <t>Inorganic laboratory preparations.</t>
        </is>
      </c>
      <c r="F445" t="inlineStr">
        <is>
          <t>No</t>
        </is>
      </c>
      <c r="G445" t="inlineStr">
        <is>
          <t>1</t>
        </is>
      </c>
      <c r="H445" t="inlineStr">
        <is>
          <t>No</t>
        </is>
      </c>
      <c r="I445" t="inlineStr">
        <is>
          <t>No</t>
        </is>
      </c>
      <c r="J445" t="inlineStr">
        <is>
          <t>0</t>
        </is>
      </c>
      <c r="K445" t="inlineStr">
        <is>
          <t>Schlessinger, Gert G. (Gert Gustav), 1933-</t>
        </is>
      </c>
      <c r="L445" t="inlineStr">
        <is>
          <t>New York, Chemical Pub. Co., 1962.</t>
        </is>
      </c>
      <c r="M445" t="inlineStr">
        <is>
          <t>1962</t>
        </is>
      </c>
      <c r="O445" t="inlineStr">
        <is>
          <t>eng</t>
        </is>
      </c>
      <c r="P445" t="inlineStr">
        <is>
          <t>nyu</t>
        </is>
      </c>
      <c r="R445" t="inlineStr">
        <is>
          <t xml:space="preserve">QD </t>
        </is>
      </c>
      <c r="S445" t="n">
        <v>8</v>
      </c>
      <c r="T445" t="n">
        <v>8</v>
      </c>
      <c r="U445" t="inlineStr">
        <is>
          <t>2000-02-16</t>
        </is>
      </c>
      <c r="V445" t="inlineStr">
        <is>
          <t>2000-02-16</t>
        </is>
      </c>
      <c r="W445" t="inlineStr">
        <is>
          <t>1997-12-11</t>
        </is>
      </c>
      <c r="X445" t="inlineStr">
        <is>
          <t>1997-12-11</t>
        </is>
      </c>
      <c r="Y445" t="n">
        <v>355</v>
      </c>
      <c r="Z445" t="n">
        <v>301</v>
      </c>
      <c r="AA445" t="n">
        <v>307</v>
      </c>
      <c r="AB445" t="n">
        <v>4</v>
      </c>
      <c r="AC445" t="n">
        <v>4</v>
      </c>
      <c r="AD445" t="n">
        <v>21</v>
      </c>
      <c r="AE445" t="n">
        <v>21</v>
      </c>
      <c r="AF445" t="n">
        <v>9</v>
      </c>
      <c r="AG445" t="n">
        <v>9</v>
      </c>
      <c r="AH445" t="n">
        <v>4</v>
      </c>
      <c r="AI445" t="n">
        <v>4</v>
      </c>
      <c r="AJ445" t="n">
        <v>11</v>
      </c>
      <c r="AK445" t="n">
        <v>11</v>
      </c>
      <c r="AL445" t="n">
        <v>3</v>
      </c>
      <c r="AM445" t="n">
        <v>3</v>
      </c>
      <c r="AN445" t="n">
        <v>0</v>
      </c>
      <c r="AO445" t="n">
        <v>0</v>
      </c>
      <c r="AP445" t="inlineStr">
        <is>
          <t>Yes</t>
        </is>
      </c>
      <c r="AQ445" t="inlineStr">
        <is>
          <t>No</t>
        </is>
      </c>
      <c r="AR445">
        <f>HYPERLINK("http://catalog.hathitrust.org/Record/001486928","HathiTrust Record")</f>
        <v/>
      </c>
      <c r="AS445">
        <f>HYPERLINK("https://creighton-primo.hosted.exlibrisgroup.com/primo-explore/search?tab=default_tab&amp;search_scope=EVERYTHING&amp;vid=01CRU&amp;lang=en_US&amp;offset=0&amp;query=any,contains,991003646069702656","Catalog Record")</f>
        <v/>
      </c>
      <c r="AT445">
        <f>HYPERLINK("http://www.worldcat.org/oclc/1247381","WorldCat Record")</f>
        <v/>
      </c>
      <c r="AU445" t="inlineStr">
        <is>
          <t>2155723:eng</t>
        </is>
      </c>
      <c r="AV445" t="inlineStr">
        <is>
          <t>1247381</t>
        </is>
      </c>
      <c r="AW445" t="inlineStr">
        <is>
          <t>991003646069702656</t>
        </is>
      </c>
      <c r="AX445" t="inlineStr">
        <is>
          <t>991003646069702656</t>
        </is>
      </c>
      <c r="AY445" t="inlineStr">
        <is>
          <t>2263788240002656</t>
        </is>
      </c>
      <c r="AZ445" t="inlineStr">
        <is>
          <t>BOOK</t>
        </is>
      </c>
      <c r="BC445" t="inlineStr">
        <is>
          <t>32285003283032</t>
        </is>
      </c>
      <c r="BD445" t="inlineStr">
        <is>
          <t>893535559</t>
        </is>
      </c>
    </row>
    <row r="446">
      <c r="A446" t="inlineStr">
        <is>
          <t>No</t>
        </is>
      </c>
      <c r="B446" t="inlineStr">
        <is>
          <t>QD156 .S38 2000</t>
        </is>
      </c>
      <c r="C446" t="inlineStr">
        <is>
          <t>0                      QD 0156000S  38          2000</t>
        </is>
      </c>
      <c r="D446" t="inlineStr">
        <is>
          <t>Synthesis of inorganic materials / Ulrich Schubert, Nicola Hüsing.</t>
        </is>
      </c>
      <c r="F446" t="inlineStr">
        <is>
          <t>No</t>
        </is>
      </c>
      <c r="G446" t="inlineStr">
        <is>
          <t>1</t>
        </is>
      </c>
      <c r="H446" t="inlineStr">
        <is>
          <t>No</t>
        </is>
      </c>
      <c r="I446" t="inlineStr">
        <is>
          <t>No</t>
        </is>
      </c>
      <c r="J446" t="inlineStr">
        <is>
          <t>0</t>
        </is>
      </c>
      <c r="K446" t="inlineStr">
        <is>
          <t>Schubert, U. (Ulrich)</t>
        </is>
      </c>
      <c r="L446" t="inlineStr">
        <is>
          <t>Weinheim ; New York : Wiley-VCH , c2000.</t>
        </is>
      </c>
      <c r="M446" t="inlineStr">
        <is>
          <t>2000</t>
        </is>
      </c>
      <c r="O446" t="inlineStr">
        <is>
          <t>eng</t>
        </is>
      </c>
      <c r="P446" t="inlineStr">
        <is>
          <t xml:space="preserve">gw </t>
        </is>
      </c>
      <c r="R446" t="inlineStr">
        <is>
          <t xml:space="preserve">QD </t>
        </is>
      </c>
      <c r="S446" t="n">
        <v>1</v>
      </c>
      <c r="T446" t="n">
        <v>1</v>
      </c>
      <c r="U446" t="inlineStr">
        <is>
          <t>2004-11-12</t>
        </is>
      </c>
      <c r="V446" t="inlineStr">
        <is>
          <t>2004-11-12</t>
        </is>
      </c>
      <c r="W446" t="inlineStr">
        <is>
          <t>2003-03-19</t>
        </is>
      </c>
      <c r="X446" t="inlineStr">
        <is>
          <t>2003-03-19</t>
        </is>
      </c>
      <c r="Y446" t="n">
        <v>309</v>
      </c>
      <c r="Z446" t="n">
        <v>198</v>
      </c>
      <c r="AA446" t="n">
        <v>349</v>
      </c>
      <c r="AB446" t="n">
        <v>2</v>
      </c>
      <c r="AC446" t="n">
        <v>3</v>
      </c>
      <c r="AD446" t="n">
        <v>7</v>
      </c>
      <c r="AE446" t="n">
        <v>17</v>
      </c>
      <c r="AF446" t="n">
        <v>1</v>
      </c>
      <c r="AG446" t="n">
        <v>6</v>
      </c>
      <c r="AH446" t="n">
        <v>3</v>
      </c>
      <c r="AI446" t="n">
        <v>4</v>
      </c>
      <c r="AJ446" t="n">
        <v>3</v>
      </c>
      <c r="AK446" t="n">
        <v>10</v>
      </c>
      <c r="AL446" t="n">
        <v>1</v>
      </c>
      <c r="AM446" t="n">
        <v>2</v>
      </c>
      <c r="AN446" t="n">
        <v>0</v>
      </c>
      <c r="AO446" t="n">
        <v>0</v>
      </c>
      <c r="AP446" t="inlineStr">
        <is>
          <t>No</t>
        </is>
      </c>
      <c r="AQ446" t="inlineStr">
        <is>
          <t>No</t>
        </is>
      </c>
      <c r="AS446">
        <f>HYPERLINK("https://creighton-primo.hosted.exlibrisgroup.com/primo-explore/search?tab=default_tab&amp;search_scope=EVERYTHING&amp;vid=01CRU&amp;lang=en_US&amp;offset=0&amp;query=any,contains,991003998899702656","Catalog Record")</f>
        <v/>
      </c>
      <c r="AT446">
        <f>HYPERLINK("http://www.worldcat.org/oclc/45541548","WorldCat Record")</f>
        <v/>
      </c>
      <c r="AU446" t="inlineStr">
        <is>
          <t>256601443:eng</t>
        </is>
      </c>
      <c r="AV446" t="inlineStr">
        <is>
          <t>45541548</t>
        </is>
      </c>
      <c r="AW446" t="inlineStr">
        <is>
          <t>991003998899702656</t>
        </is>
      </c>
      <c r="AX446" t="inlineStr">
        <is>
          <t>991003998899702656</t>
        </is>
      </c>
      <c r="AY446" t="inlineStr">
        <is>
          <t>2270219330002656</t>
        </is>
      </c>
      <c r="AZ446" t="inlineStr">
        <is>
          <t>BOOK</t>
        </is>
      </c>
      <c r="BB446" t="inlineStr">
        <is>
          <t>9783527295500</t>
        </is>
      </c>
      <c r="BC446" t="inlineStr">
        <is>
          <t>32285004685227</t>
        </is>
      </c>
      <c r="BD446" t="inlineStr">
        <is>
          <t>893512669</t>
        </is>
      </c>
    </row>
    <row r="447">
      <c r="A447" t="inlineStr">
        <is>
          <t>No</t>
        </is>
      </c>
      <c r="B447" t="inlineStr">
        <is>
          <t>QD169.W3 F7 v.1</t>
        </is>
      </c>
      <c r="C447" t="inlineStr">
        <is>
          <t>0                      QD 0169000W  3                  F  7                                 v.1</t>
        </is>
      </c>
      <c r="D447" t="inlineStr">
        <is>
          <t>The physics and physical chemistry of water.</t>
        </is>
      </c>
      <c r="E447" t="inlineStr">
        <is>
          <t>V.1</t>
        </is>
      </c>
      <c r="F447" t="inlineStr">
        <is>
          <t>No</t>
        </is>
      </c>
      <c r="G447" t="inlineStr">
        <is>
          <t>1</t>
        </is>
      </c>
      <c r="H447" t="inlineStr">
        <is>
          <t>No</t>
        </is>
      </c>
      <c r="I447" t="inlineStr">
        <is>
          <t>No</t>
        </is>
      </c>
      <c r="J447" t="inlineStr">
        <is>
          <t>0</t>
        </is>
      </c>
      <c r="K447" t="inlineStr">
        <is>
          <t>Franks, Felix.</t>
        </is>
      </c>
      <c r="L447" t="inlineStr">
        <is>
          <t>New York : Plenum Press, 1972.</t>
        </is>
      </c>
      <c r="M447" t="inlineStr">
        <is>
          <t>1972</t>
        </is>
      </c>
      <c r="O447" t="inlineStr">
        <is>
          <t>eng</t>
        </is>
      </c>
      <c r="P447" t="inlineStr">
        <is>
          <t>nyu</t>
        </is>
      </c>
      <c r="Q447" t="inlineStr">
        <is>
          <t>Water, a comprehensive treatise ; v. 1</t>
        </is>
      </c>
      <c r="R447" t="inlineStr">
        <is>
          <t xml:space="preserve">QD </t>
        </is>
      </c>
      <c r="S447" t="n">
        <v>6</v>
      </c>
      <c r="T447" t="n">
        <v>6</v>
      </c>
      <c r="U447" t="inlineStr">
        <is>
          <t>2007-03-15</t>
        </is>
      </c>
      <c r="V447" t="inlineStr">
        <is>
          <t>2007-03-15</t>
        </is>
      </c>
      <c r="W447" t="inlineStr">
        <is>
          <t>2000-06-15</t>
        </is>
      </c>
      <c r="X447" t="inlineStr">
        <is>
          <t>2000-06-15</t>
        </is>
      </c>
      <c r="Y447" t="n">
        <v>96</v>
      </c>
      <c r="Z447" t="n">
        <v>81</v>
      </c>
      <c r="AA447" t="n">
        <v>109</v>
      </c>
      <c r="AB447" t="n">
        <v>1</v>
      </c>
      <c r="AC447" t="n">
        <v>1</v>
      </c>
      <c r="AD447" t="n">
        <v>5</v>
      </c>
      <c r="AE447" t="n">
        <v>6</v>
      </c>
      <c r="AF447" t="n">
        <v>1</v>
      </c>
      <c r="AG447" t="n">
        <v>2</v>
      </c>
      <c r="AH447" t="n">
        <v>1</v>
      </c>
      <c r="AI447" t="n">
        <v>1</v>
      </c>
      <c r="AJ447" t="n">
        <v>4</v>
      </c>
      <c r="AK447" t="n">
        <v>5</v>
      </c>
      <c r="AL447" t="n">
        <v>0</v>
      </c>
      <c r="AM447" t="n">
        <v>0</v>
      </c>
      <c r="AN447" t="n">
        <v>0</v>
      </c>
      <c r="AO447" t="n">
        <v>0</v>
      </c>
      <c r="AP447" t="inlineStr">
        <is>
          <t>No</t>
        </is>
      </c>
      <c r="AQ447" t="inlineStr">
        <is>
          <t>Yes</t>
        </is>
      </c>
      <c r="AR447">
        <f>HYPERLINK("http://catalog.hathitrust.org/Record/007156660","HathiTrust Record")</f>
        <v/>
      </c>
      <c r="AS447">
        <f>HYPERLINK("https://creighton-primo.hosted.exlibrisgroup.com/primo-explore/search?tab=default_tab&amp;search_scope=EVERYTHING&amp;vid=01CRU&amp;lang=en_US&amp;offset=0&amp;query=any,contains,991003087799702656","Catalog Record")</f>
        <v/>
      </c>
      <c r="AT447">
        <f>HYPERLINK("http://www.worldcat.org/oclc/447813","WorldCat Record")</f>
        <v/>
      </c>
      <c r="AU447" t="inlineStr">
        <is>
          <t>145075058:eng</t>
        </is>
      </c>
      <c r="AV447" t="inlineStr">
        <is>
          <t>447813</t>
        </is>
      </c>
      <c r="AW447" t="inlineStr">
        <is>
          <t>991003087799702656</t>
        </is>
      </c>
      <c r="AX447" t="inlineStr">
        <is>
          <t>991003087799702656</t>
        </is>
      </c>
      <c r="AY447" t="inlineStr">
        <is>
          <t>2268521200002656</t>
        </is>
      </c>
      <c r="AZ447" t="inlineStr">
        <is>
          <t>BOOK</t>
        </is>
      </c>
      <c r="BC447" t="inlineStr">
        <is>
          <t>32285000471168</t>
        </is>
      </c>
      <c r="BD447" t="inlineStr">
        <is>
          <t>893799374</t>
        </is>
      </c>
    </row>
    <row r="448">
      <c r="A448" t="inlineStr">
        <is>
          <t>No</t>
        </is>
      </c>
      <c r="B448" t="inlineStr">
        <is>
          <t>QD169.W3 F7 v.2</t>
        </is>
      </c>
      <c r="C448" t="inlineStr">
        <is>
          <t>0                      QD 0169000W  3                  F  7                                 v.2</t>
        </is>
      </c>
      <c r="D448" t="inlineStr">
        <is>
          <t>Water in crystalline hydrates : aqueous solutions of simple nonelectrolytes / edited by Felix Franks.</t>
        </is>
      </c>
      <c r="E448" t="inlineStr">
        <is>
          <t>V.2</t>
        </is>
      </c>
      <c r="F448" t="inlineStr">
        <is>
          <t>No</t>
        </is>
      </c>
      <c r="G448" t="inlineStr">
        <is>
          <t>1</t>
        </is>
      </c>
      <c r="H448" t="inlineStr">
        <is>
          <t>No</t>
        </is>
      </c>
      <c r="I448" t="inlineStr">
        <is>
          <t>No</t>
        </is>
      </c>
      <c r="J448" t="inlineStr">
        <is>
          <t>0</t>
        </is>
      </c>
      <c r="K448" t="inlineStr">
        <is>
          <t>Franks, Felix.</t>
        </is>
      </c>
      <c r="L448" t="inlineStr">
        <is>
          <t>New York : Plenum Press, 1973.</t>
        </is>
      </c>
      <c r="M448" t="inlineStr">
        <is>
          <t>1973</t>
        </is>
      </c>
      <c r="O448" t="inlineStr">
        <is>
          <t>eng</t>
        </is>
      </c>
      <c r="P448" t="inlineStr">
        <is>
          <t>nyu</t>
        </is>
      </c>
      <c r="Q448" t="inlineStr">
        <is>
          <t>Water, a comprehensive treatise ; v. 2</t>
        </is>
      </c>
      <c r="R448" t="inlineStr">
        <is>
          <t xml:space="preserve">QD </t>
        </is>
      </c>
      <c r="S448" t="n">
        <v>3</v>
      </c>
      <c r="T448" t="n">
        <v>3</v>
      </c>
      <c r="U448" t="inlineStr">
        <is>
          <t>2007-03-15</t>
        </is>
      </c>
      <c r="V448" t="inlineStr">
        <is>
          <t>2007-03-15</t>
        </is>
      </c>
      <c r="W448" t="inlineStr">
        <is>
          <t>2000-06-15</t>
        </is>
      </c>
      <c r="X448" t="inlineStr">
        <is>
          <t>2000-06-15</t>
        </is>
      </c>
      <c r="Y448" t="n">
        <v>103</v>
      </c>
      <c r="Z448" t="n">
        <v>77</v>
      </c>
      <c r="AA448" t="n">
        <v>106</v>
      </c>
      <c r="AB448" t="n">
        <v>1</v>
      </c>
      <c r="AC448" t="n">
        <v>2</v>
      </c>
      <c r="AD448" t="n">
        <v>4</v>
      </c>
      <c r="AE448" t="n">
        <v>6</v>
      </c>
      <c r="AF448" t="n">
        <v>1</v>
      </c>
      <c r="AG448" t="n">
        <v>2</v>
      </c>
      <c r="AH448" t="n">
        <v>1</v>
      </c>
      <c r="AI448" t="n">
        <v>1</v>
      </c>
      <c r="AJ448" t="n">
        <v>3</v>
      </c>
      <c r="AK448" t="n">
        <v>4</v>
      </c>
      <c r="AL448" t="n">
        <v>0</v>
      </c>
      <c r="AM448" t="n">
        <v>1</v>
      </c>
      <c r="AN448" t="n">
        <v>0</v>
      </c>
      <c r="AO448" t="n">
        <v>0</v>
      </c>
      <c r="AP448" t="inlineStr">
        <is>
          <t>No</t>
        </is>
      </c>
      <c r="AQ448" t="inlineStr">
        <is>
          <t>Yes</t>
        </is>
      </c>
      <c r="AR448">
        <f>HYPERLINK("http://catalog.hathitrust.org/Record/007156841","HathiTrust Record")</f>
        <v/>
      </c>
      <c r="AS448">
        <f>HYPERLINK("https://creighton-primo.hosted.exlibrisgroup.com/primo-explore/search?tab=default_tab&amp;search_scope=EVERYTHING&amp;vid=01CRU&amp;lang=en_US&amp;offset=0&amp;query=any,contains,991003090869702656","Catalog Record")</f>
        <v/>
      </c>
      <c r="AT448">
        <f>HYPERLINK("http://www.worldcat.org/oclc/696461","WorldCat Record")</f>
        <v/>
      </c>
      <c r="AU448" t="inlineStr">
        <is>
          <t>3856899012:eng</t>
        </is>
      </c>
      <c r="AV448" t="inlineStr">
        <is>
          <t>696461</t>
        </is>
      </c>
      <c r="AW448" t="inlineStr">
        <is>
          <t>991003090869702656</t>
        </is>
      </c>
      <c r="AX448" t="inlineStr">
        <is>
          <t>991003090869702656</t>
        </is>
      </c>
      <c r="AY448" t="inlineStr">
        <is>
          <t>2268217030002656</t>
        </is>
      </c>
      <c r="AZ448" t="inlineStr">
        <is>
          <t>BOOK</t>
        </is>
      </c>
      <c r="BB448" t="inlineStr">
        <is>
          <t>9780306371820</t>
        </is>
      </c>
      <c r="BC448" t="inlineStr">
        <is>
          <t>32285001535391</t>
        </is>
      </c>
      <c r="BD448" t="inlineStr">
        <is>
          <t>893440925</t>
        </is>
      </c>
    </row>
    <row r="449">
      <c r="A449" t="inlineStr">
        <is>
          <t>No</t>
        </is>
      </c>
      <c r="B449" t="inlineStr">
        <is>
          <t>QD169.W3 F7 v.3</t>
        </is>
      </c>
      <c r="C449" t="inlineStr">
        <is>
          <t>0                      QD 0169000W  3                  F  7                                 v.3</t>
        </is>
      </c>
      <c r="D449" t="inlineStr">
        <is>
          <t>Aqueous solutions of simple electrolytes / edited by Felix Franks.</t>
        </is>
      </c>
      <c r="E449" t="inlineStr">
        <is>
          <t>V.3</t>
        </is>
      </c>
      <c r="F449" t="inlineStr">
        <is>
          <t>No</t>
        </is>
      </c>
      <c r="G449" t="inlineStr">
        <is>
          <t>1</t>
        </is>
      </c>
      <c r="H449" t="inlineStr">
        <is>
          <t>No</t>
        </is>
      </c>
      <c r="I449" t="inlineStr">
        <is>
          <t>No</t>
        </is>
      </c>
      <c r="J449" t="inlineStr">
        <is>
          <t>0</t>
        </is>
      </c>
      <c r="K449" t="inlineStr">
        <is>
          <t>Franks, Felix.</t>
        </is>
      </c>
      <c r="L449" t="inlineStr">
        <is>
          <t>New York : Plenum Press, 1973.</t>
        </is>
      </c>
      <c r="M449" t="inlineStr">
        <is>
          <t>1973</t>
        </is>
      </c>
      <c r="O449" t="inlineStr">
        <is>
          <t>eng</t>
        </is>
      </c>
      <c r="P449" t="inlineStr">
        <is>
          <t>nyu</t>
        </is>
      </c>
      <c r="Q449" t="inlineStr">
        <is>
          <t>Water, a comprehensive treatise ; v. 3</t>
        </is>
      </c>
      <c r="R449" t="inlineStr">
        <is>
          <t xml:space="preserve">QD </t>
        </is>
      </c>
      <c r="S449" t="n">
        <v>3</v>
      </c>
      <c r="T449" t="n">
        <v>3</v>
      </c>
      <c r="U449" t="inlineStr">
        <is>
          <t>2007-03-15</t>
        </is>
      </c>
      <c r="V449" t="inlineStr">
        <is>
          <t>2007-03-15</t>
        </is>
      </c>
      <c r="W449" t="inlineStr">
        <is>
          <t>2000-06-15</t>
        </is>
      </c>
      <c r="X449" t="inlineStr">
        <is>
          <t>2000-06-15</t>
        </is>
      </c>
      <c r="Y449" t="n">
        <v>106</v>
      </c>
      <c r="Z449" t="n">
        <v>83</v>
      </c>
      <c r="AA449" t="n">
        <v>110</v>
      </c>
      <c r="AB449" t="n">
        <v>1</v>
      </c>
      <c r="AC449" t="n">
        <v>2</v>
      </c>
      <c r="AD449" t="n">
        <v>5</v>
      </c>
      <c r="AE449" t="n">
        <v>7</v>
      </c>
      <c r="AF449" t="n">
        <v>1</v>
      </c>
      <c r="AG449" t="n">
        <v>2</v>
      </c>
      <c r="AH449" t="n">
        <v>2</v>
      </c>
      <c r="AI449" t="n">
        <v>2</v>
      </c>
      <c r="AJ449" t="n">
        <v>3</v>
      </c>
      <c r="AK449" t="n">
        <v>4</v>
      </c>
      <c r="AL449" t="n">
        <v>0</v>
      </c>
      <c r="AM449" t="n">
        <v>1</v>
      </c>
      <c r="AN449" t="n">
        <v>0</v>
      </c>
      <c r="AO449" t="n">
        <v>0</v>
      </c>
      <c r="AP449" t="inlineStr">
        <is>
          <t>No</t>
        </is>
      </c>
      <c r="AQ449" t="inlineStr">
        <is>
          <t>Yes</t>
        </is>
      </c>
      <c r="AR449">
        <f>HYPERLINK("http://catalog.hathitrust.org/Record/007156850","HathiTrust Record")</f>
        <v/>
      </c>
      <c r="AS449">
        <f>HYPERLINK("https://creighton-primo.hosted.exlibrisgroup.com/primo-explore/search?tab=default_tab&amp;search_scope=EVERYTHING&amp;vid=01CRU&amp;lang=en_US&amp;offset=0&amp;query=any,contains,991003090989702656","Catalog Record")</f>
        <v/>
      </c>
      <c r="AT449">
        <f>HYPERLINK("http://www.worldcat.org/oclc/703799","WorldCat Record")</f>
        <v/>
      </c>
      <c r="AU449" t="inlineStr">
        <is>
          <t>145074725:eng</t>
        </is>
      </c>
      <c r="AV449" t="inlineStr">
        <is>
          <t>703799</t>
        </is>
      </c>
      <c r="AW449" t="inlineStr">
        <is>
          <t>991003090989702656</t>
        </is>
      </c>
      <c r="AX449" t="inlineStr">
        <is>
          <t>991003090989702656</t>
        </is>
      </c>
      <c r="AY449" t="inlineStr">
        <is>
          <t>2257304890002656</t>
        </is>
      </c>
      <c r="AZ449" t="inlineStr">
        <is>
          <t>BOOK</t>
        </is>
      </c>
      <c r="BB449" t="inlineStr">
        <is>
          <t>9780306371837</t>
        </is>
      </c>
      <c r="BC449" t="inlineStr">
        <is>
          <t>32285001535383</t>
        </is>
      </c>
      <c r="BD449" t="inlineStr">
        <is>
          <t>893793308</t>
        </is>
      </c>
    </row>
    <row r="450">
      <c r="A450" t="inlineStr">
        <is>
          <t>No</t>
        </is>
      </c>
      <c r="B450" t="inlineStr">
        <is>
          <t>QD169.W3 F7 v.4</t>
        </is>
      </c>
      <c r="C450" t="inlineStr">
        <is>
          <t>0                      QD 0169000W  3                  F  7                                 v.4</t>
        </is>
      </c>
      <c r="D450" t="inlineStr">
        <is>
          <t>Aqueous solutions of amphiphiles and macromolecules / edited by Felix Franks.</t>
        </is>
      </c>
      <c r="E450" t="inlineStr">
        <is>
          <t>V.4</t>
        </is>
      </c>
      <c r="F450" t="inlineStr">
        <is>
          <t>No</t>
        </is>
      </c>
      <c r="G450" t="inlineStr">
        <is>
          <t>1</t>
        </is>
      </c>
      <c r="H450" t="inlineStr">
        <is>
          <t>No</t>
        </is>
      </c>
      <c r="I450" t="inlineStr">
        <is>
          <t>No</t>
        </is>
      </c>
      <c r="J450" t="inlineStr">
        <is>
          <t>0</t>
        </is>
      </c>
      <c r="K450" t="inlineStr">
        <is>
          <t>Franks, Felix.</t>
        </is>
      </c>
      <c r="L450" t="inlineStr">
        <is>
          <t>New York : Plenum Press, [1975]</t>
        </is>
      </c>
      <c r="M450" t="inlineStr">
        <is>
          <t>1975</t>
        </is>
      </c>
      <c r="O450" t="inlineStr">
        <is>
          <t>eng</t>
        </is>
      </c>
      <c r="P450" t="inlineStr">
        <is>
          <t>nyu</t>
        </is>
      </c>
      <c r="Q450" t="inlineStr">
        <is>
          <t>Water, a comprehensive treatise ; v. 4</t>
        </is>
      </c>
      <c r="R450" t="inlineStr">
        <is>
          <t xml:space="preserve">QD </t>
        </is>
      </c>
      <c r="S450" t="n">
        <v>2</v>
      </c>
      <c r="T450" t="n">
        <v>2</v>
      </c>
      <c r="U450" t="inlineStr">
        <is>
          <t>2007-03-15</t>
        </is>
      </c>
      <c r="V450" t="inlineStr">
        <is>
          <t>2007-03-15</t>
        </is>
      </c>
      <c r="W450" t="inlineStr">
        <is>
          <t>2000-06-15</t>
        </is>
      </c>
      <c r="X450" t="inlineStr">
        <is>
          <t>2000-06-15</t>
        </is>
      </c>
      <c r="Y450" t="n">
        <v>120</v>
      </c>
      <c r="Z450" t="n">
        <v>99</v>
      </c>
      <c r="AA450" t="n">
        <v>102</v>
      </c>
      <c r="AB450" t="n">
        <v>1</v>
      </c>
      <c r="AC450" t="n">
        <v>1</v>
      </c>
      <c r="AD450" t="n">
        <v>2</v>
      </c>
      <c r="AE450" t="n">
        <v>2</v>
      </c>
      <c r="AF450" t="n">
        <v>0</v>
      </c>
      <c r="AG450" t="n">
        <v>0</v>
      </c>
      <c r="AH450" t="n">
        <v>1</v>
      </c>
      <c r="AI450" t="n">
        <v>1</v>
      </c>
      <c r="AJ450" t="n">
        <v>2</v>
      </c>
      <c r="AK450" t="n">
        <v>2</v>
      </c>
      <c r="AL450" t="n">
        <v>0</v>
      </c>
      <c r="AM450" t="n">
        <v>0</v>
      </c>
      <c r="AN450" t="n">
        <v>0</v>
      </c>
      <c r="AO450" t="n">
        <v>0</v>
      </c>
      <c r="AP450" t="inlineStr">
        <is>
          <t>No</t>
        </is>
      </c>
      <c r="AQ450" t="inlineStr">
        <is>
          <t>Yes</t>
        </is>
      </c>
      <c r="AR450">
        <f>HYPERLINK("http://catalog.hathitrust.org/Record/007157179","HathiTrust Record")</f>
        <v/>
      </c>
      <c r="AS450">
        <f>HYPERLINK("https://creighton-primo.hosted.exlibrisgroup.com/primo-explore/search?tab=default_tab&amp;search_scope=EVERYTHING&amp;vid=01CRU&amp;lang=en_US&amp;offset=0&amp;query=any,contains,991003094099702656","Catalog Record")</f>
        <v/>
      </c>
      <c r="AT450">
        <f>HYPERLINK("http://www.worldcat.org/oclc/1031335","WorldCat Record")</f>
        <v/>
      </c>
      <c r="AU450" t="inlineStr">
        <is>
          <t>8907023024:eng</t>
        </is>
      </c>
      <c r="AV450" t="inlineStr">
        <is>
          <t>1031335</t>
        </is>
      </c>
      <c r="AW450" t="inlineStr">
        <is>
          <t>991003094099702656</t>
        </is>
      </c>
      <c r="AX450" t="inlineStr">
        <is>
          <t>991003094099702656</t>
        </is>
      </c>
      <c r="AY450" t="inlineStr">
        <is>
          <t>2265431840002656</t>
        </is>
      </c>
      <c r="AZ450" t="inlineStr">
        <is>
          <t>BOOK</t>
        </is>
      </c>
      <c r="BB450" t="inlineStr">
        <is>
          <t>9780306371844</t>
        </is>
      </c>
      <c r="BC450" t="inlineStr">
        <is>
          <t>32285001535375</t>
        </is>
      </c>
      <c r="BD450" t="inlineStr">
        <is>
          <t>893793313</t>
        </is>
      </c>
    </row>
    <row r="451">
      <c r="A451" t="inlineStr">
        <is>
          <t>No</t>
        </is>
      </c>
      <c r="B451" t="inlineStr">
        <is>
          <t>QD169.W3 K3</t>
        </is>
      </c>
      <c r="C451" t="inlineStr">
        <is>
          <t>0                      QD 0169000W  3                  K  3</t>
        </is>
      </c>
      <c r="D451" t="inlineStr">
        <is>
          <t>Water and solute-water interactions / [by] J. Lee Kavanau.</t>
        </is>
      </c>
      <c r="F451" t="inlineStr">
        <is>
          <t>No</t>
        </is>
      </c>
      <c r="G451" t="inlineStr">
        <is>
          <t>1</t>
        </is>
      </c>
      <c r="H451" t="inlineStr">
        <is>
          <t>No</t>
        </is>
      </c>
      <c r="I451" t="inlineStr">
        <is>
          <t>No</t>
        </is>
      </c>
      <c r="J451" t="inlineStr">
        <is>
          <t>0</t>
        </is>
      </c>
      <c r="K451" t="inlineStr">
        <is>
          <t>Kavanau, J. Lee.</t>
        </is>
      </c>
      <c r="L451" t="inlineStr">
        <is>
          <t>San Francisco : Holden-Day, 1964</t>
        </is>
      </c>
      <c r="M451" t="inlineStr">
        <is>
          <t>1964</t>
        </is>
      </c>
      <c r="O451" t="inlineStr">
        <is>
          <t>eng</t>
        </is>
      </c>
      <c r="P451" t="inlineStr">
        <is>
          <t>cau</t>
        </is>
      </c>
      <c r="R451" t="inlineStr">
        <is>
          <t xml:space="preserve">QD </t>
        </is>
      </c>
      <c r="S451" t="n">
        <v>4</v>
      </c>
      <c r="T451" t="n">
        <v>4</v>
      </c>
      <c r="U451" t="inlineStr">
        <is>
          <t>1999-12-28</t>
        </is>
      </c>
      <c r="V451" t="inlineStr">
        <is>
          <t>1999-12-28</t>
        </is>
      </c>
      <c r="W451" t="inlineStr">
        <is>
          <t>1995-03-23</t>
        </is>
      </c>
      <c r="X451" t="inlineStr">
        <is>
          <t>1995-03-23</t>
        </is>
      </c>
      <c r="Y451" t="n">
        <v>425</v>
      </c>
      <c r="Z451" t="n">
        <v>327</v>
      </c>
      <c r="AA451" t="n">
        <v>334</v>
      </c>
      <c r="AB451" t="n">
        <v>3</v>
      </c>
      <c r="AC451" t="n">
        <v>3</v>
      </c>
      <c r="AD451" t="n">
        <v>14</v>
      </c>
      <c r="AE451" t="n">
        <v>14</v>
      </c>
      <c r="AF451" t="n">
        <v>2</v>
      </c>
      <c r="AG451" t="n">
        <v>2</v>
      </c>
      <c r="AH451" t="n">
        <v>4</v>
      </c>
      <c r="AI451" t="n">
        <v>4</v>
      </c>
      <c r="AJ451" t="n">
        <v>9</v>
      </c>
      <c r="AK451" t="n">
        <v>9</v>
      </c>
      <c r="AL451" t="n">
        <v>2</v>
      </c>
      <c r="AM451" t="n">
        <v>2</v>
      </c>
      <c r="AN451" t="n">
        <v>0</v>
      </c>
      <c r="AO451" t="n">
        <v>0</v>
      </c>
      <c r="AP451" t="inlineStr">
        <is>
          <t>No</t>
        </is>
      </c>
      <c r="AQ451" t="inlineStr">
        <is>
          <t>Yes</t>
        </is>
      </c>
      <c r="AR451">
        <f>HYPERLINK("http://catalog.hathitrust.org/Record/001113565","HathiTrust Record")</f>
        <v/>
      </c>
      <c r="AS451">
        <f>HYPERLINK("https://creighton-primo.hosted.exlibrisgroup.com/primo-explore/search?tab=default_tab&amp;search_scope=EVERYTHING&amp;vid=01CRU&amp;lang=en_US&amp;offset=0&amp;query=any,contains,991002956179702656","Catalog Record")</f>
        <v/>
      </c>
      <c r="AT451">
        <f>HYPERLINK("http://www.worldcat.org/oclc/542189","WorldCat Record")</f>
        <v/>
      </c>
      <c r="AU451" t="inlineStr">
        <is>
          <t>1571108:eng</t>
        </is>
      </c>
      <c r="AV451" t="inlineStr">
        <is>
          <t>542189</t>
        </is>
      </c>
      <c r="AW451" t="inlineStr">
        <is>
          <t>991002956179702656</t>
        </is>
      </c>
      <c r="AX451" t="inlineStr">
        <is>
          <t>991002956179702656</t>
        </is>
      </c>
      <c r="AY451" t="inlineStr">
        <is>
          <t>2266671300002656</t>
        </is>
      </c>
      <c r="AZ451" t="inlineStr">
        <is>
          <t>BOOK</t>
        </is>
      </c>
      <c r="BC451" t="inlineStr">
        <is>
          <t>32285002013596</t>
        </is>
      </c>
      <c r="BD451" t="inlineStr">
        <is>
          <t>893780439</t>
        </is>
      </c>
    </row>
    <row r="452">
      <c r="A452" t="inlineStr">
        <is>
          <t>No</t>
        </is>
      </c>
      <c r="B452" t="inlineStr">
        <is>
          <t>QD171 .D35</t>
        </is>
      </c>
      <c r="C452" t="inlineStr">
        <is>
          <t>0                      QD 0171000D  35</t>
        </is>
      </c>
      <c r="D452" t="inlineStr">
        <is>
          <t>Physical chemistry of metals / [by] Lawrence S. Darken [and] Robert W. Gurry ; with a collection of problems by Michael B. Bever.</t>
        </is>
      </c>
      <c r="F452" t="inlineStr">
        <is>
          <t>No</t>
        </is>
      </c>
      <c r="G452" t="inlineStr">
        <is>
          <t>1</t>
        </is>
      </c>
      <c r="H452" t="inlineStr">
        <is>
          <t>No</t>
        </is>
      </c>
      <c r="I452" t="inlineStr">
        <is>
          <t>No</t>
        </is>
      </c>
      <c r="J452" t="inlineStr">
        <is>
          <t>0</t>
        </is>
      </c>
      <c r="K452" t="inlineStr">
        <is>
          <t>Darken, Lawrence S. (Lawrence Stamper), 1909-</t>
        </is>
      </c>
      <c r="L452" t="inlineStr">
        <is>
          <t>New York : McGraw-Hill, 1953.</t>
        </is>
      </c>
      <c r="M452" t="inlineStr">
        <is>
          <t>1953</t>
        </is>
      </c>
      <c r="O452" t="inlineStr">
        <is>
          <t>eng</t>
        </is>
      </c>
      <c r="P452" t="inlineStr">
        <is>
          <t>nyu</t>
        </is>
      </c>
      <c r="Q452" t="inlineStr">
        <is>
          <t>Metallurgy and metallurgical engineering series</t>
        </is>
      </c>
      <c r="R452" t="inlineStr">
        <is>
          <t xml:space="preserve">QD </t>
        </is>
      </c>
      <c r="S452" t="n">
        <v>4</v>
      </c>
      <c r="T452" t="n">
        <v>4</v>
      </c>
      <c r="U452" t="inlineStr">
        <is>
          <t>1995-02-28</t>
        </is>
      </c>
      <c r="V452" t="inlineStr">
        <is>
          <t>1995-02-28</t>
        </is>
      </c>
      <c r="W452" t="inlineStr">
        <is>
          <t>1994-12-01</t>
        </is>
      </c>
      <c r="X452" t="inlineStr">
        <is>
          <t>1994-12-01</t>
        </is>
      </c>
      <c r="Y452" t="n">
        <v>535</v>
      </c>
      <c r="Z452" t="n">
        <v>381</v>
      </c>
      <c r="AA452" t="n">
        <v>391</v>
      </c>
      <c r="AB452" t="n">
        <v>2</v>
      </c>
      <c r="AC452" t="n">
        <v>2</v>
      </c>
      <c r="AD452" t="n">
        <v>13</v>
      </c>
      <c r="AE452" t="n">
        <v>13</v>
      </c>
      <c r="AF452" t="n">
        <v>4</v>
      </c>
      <c r="AG452" t="n">
        <v>4</v>
      </c>
      <c r="AH452" t="n">
        <v>4</v>
      </c>
      <c r="AI452" t="n">
        <v>4</v>
      </c>
      <c r="AJ452" t="n">
        <v>6</v>
      </c>
      <c r="AK452" t="n">
        <v>6</v>
      </c>
      <c r="AL452" t="n">
        <v>1</v>
      </c>
      <c r="AM452" t="n">
        <v>1</v>
      </c>
      <c r="AN452" t="n">
        <v>0</v>
      </c>
      <c r="AO452" t="n">
        <v>0</v>
      </c>
      <c r="AP452" t="inlineStr">
        <is>
          <t>No</t>
        </is>
      </c>
      <c r="AQ452" t="inlineStr">
        <is>
          <t>Yes</t>
        </is>
      </c>
      <c r="AR452">
        <f>HYPERLINK("http://catalog.hathitrust.org/Record/001113569","HathiTrust Record")</f>
        <v/>
      </c>
      <c r="AS452">
        <f>HYPERLINK("https://creighton-primo.hosted.exlibrisgroup.com/primo-explore/search?tab=default_tab&amp;search_scope=EVERYTHING&amp;vid=01CRU&amp;lang=en_US&amp;offset=0&amp;query=any,contains,991002962629702656","Catalog Record")</f>
        <v/>
      </c>
      <c r="AT452">
        <f>HYPERLINK("http://www.worldcat.org/oclc/544719","WorldCat Record")</f>
        <v/>
      </c>
      <c r="AU452" t="inlineStr">
        <is>
          <t>1575913:eng</t>
        </is>
      </c>
      <c r="AV452" t="inlineStr">
        <is>
          <t>544719</t>
        </is>
      </c>
      <c r="AW452" t="inlineStr">
        <is>
          <t>991002962629702656</t>
        </is>
      </c>
      <c r="AX452" t="inlineStr">
        <is>
          <t>991002962629702656</t>
        </is>
      </c>
      <c r="AY452" t="inlineStr">
        <is>
          <t>2268029180002656</t>
        </is>
      </c>
      <c r="AZ452" t="inlineStr">
        <is>
          <t>BOOK</t>
        </is>
      </c>
      <c r="BC452" t="inlineStr">
        <is>
          <t>32285001969277</t>
        </is>
      </c>
      <c r="BD452" t="inlineStr">
        <is>
          <t>893774230</t>
        </is>
      </c>
    </row>
    <row r="453">
      <c r="A453" t="inlineStr">
        <is>
          <t>No</t>
        </is>
      </c>
      <c r="B453" t="inlineStr">
        <is>
          <t>QD172.R2 C68 2006</t>
        </is>
      </c>
      <c r="C453" t="inlineStr">
        <is>
          <t>0                      QD 0172000R  2                  C  68          2006</t>
        </is>
      </c>
      <c r="D453" t="inlineStr">
        <is>
          <t>Lanthanide and actinide chemistry / Simon Cotton.</t>
        </is>
      </c>
      <c r="F453" t="inlineStr">
        <is>
          <t>No</t>
        </is>
      </c>
      <c r="G453" t="inlineStr">
        <is>
          <t>1</t>
        </is>
      </c>
      <c r="H453" t="inlineStr">
        <is>
          <t>No</t>
        </is>
      </c>
      <c r="I453" t="inlineStr">
        <is>
          <t>No</t>
        </is>
      </c>
      <c r="J453" t="inlineStr">
        <is>
          <t>0</t>
        </is>
      </c>
      <c r="K453" t="inlineStr">
        <is>
          <t>Cotton, S. A. (Simon A.), 1946-</t>
        </is>
      </c>
      <c r="L453" t="inlineStr">
        <is>
          <t>Chichester, England ; Hoboken, NJ : Wiley, c2006.</t>
        </is>
      </c>
      <c r="M453" t="inlineStr">
        <is>
          <t>2006</t>
        </is>
      </c>
      <c r="O453" t="inlineStr">
        <is>
          <t>eng</t>
        </is>
      </c>
      <c r="P453" t="inlineStr">
        <is>
          <t>enk</t>
        </is>
      </c>
      <c r="Q453" t="inlineStr">
        <is>
          <t>Inorganic chemistry</t>
        </is>
      </c>
      <c r="R453" t="inlineStr">
        <is>
          <t xml:space="preserve">QD </t>
        </is>
      </c>
      <c r="S453" t="n">
        <v>2</v>
      </c>
      <c r="T453" t="n">
        <v>2</v>
      </c>
      <c r="U453" t="inlineStr">
        <is>
          <t>2010-02-25</t>
        </is>
      </c>
      <c r="V453" t="inlineStr">
        <is>
          <t>2010-02-25</t>
        </is>
      </c>
      <c r="W453" t="inlineStr">
        <is>
          <t>2007-03-22</t>
        </is>
      </c>
      <c r="X453" t="inlineStr">
        <is>
          <t>2007-03-22</t>
        </is>
      </c>
      <c r="Y453" t="n">
        <v>352</v>
      </c>
      <c r="Z453" t="n">
        <v>243</v>
      </c>
      <c r="AA453" t="n">
        <v>312</v>
      </c>
      <c r="AB453" t="n">
        <v>4</v>
      </c>
      <c r="AC453" t="n">
        <v>4</v>
      </c>
      <c r="AD453" t="n">
        <v>15</v>
      </c>
      <c r="AE453" t="n">
        <v>16</v>
      </c>
      <c r="AF453" t="n">
        <v>6</v>
      </c>
      <c r="AG453" t="n">
        <v>6</v>
      </c>
      <c r="AH453" t="n">
        <v>3</v>
      </c>
      <c r="AI453" t="n">
        <v>4</v>
      </c>
      <c r="AJ453" t="n">
        <v>7</v>
      </c>
      <c r="AK453" t="n">
        <v>7</v>
      </c>
      <c r="AL453" t="n">
        <v>3</v>
      </c>
      <c r="AM453" t="n">
        <v>3</v>
      </c>
      <c r="AN453" t="n">
        <v>0</v>
      </c>
      <c r="AO453" t="n">
        <v>0</v>
      </c>
      <c r="AP453" t="inlineStr">
        <is>
          <t>No</t>
        </is>
      </c>
      <c r="AQ453" t="inlineStr">
        <is>
          <t>Yes</t>
        </is>
      </c>
      <c r="AR453">
        <f>HYPERLINK("http://catalog.hathitrust.org/Record/005146585","HathiTrust Record")</f>
        <v/>
      </c>
      <c r="AS453">
        <f>HYPERLINK("https://creighton-primo.hosted.exlibrisgroup.com/primo-explore/search?tab=default_tab&amp;search_scope=EVERYTHING&amp;vid=01CRU&amp;lang=en_US&amp;offset=0&amp;query=any,contains,991005037049702656","Catalog Record")</f>
        <v/>
      </c>
      <c r="AT453">
        <f>HYPERLINK("http://www.worldcat.org/oclc/61451623","WorldCat Record")</f>
        <v/>
      </c>
      <c r="AU453" t="inlineStr">
        <is>
          <t>195530794:eng</t>
        </is>
      </c>
      <c r="AV453" t="inlineStr">
        <is>
          <t>61451623</t>
        </is>
      </c>
      <c r="AW453" t="inlineStr">
        <is>
          <t>991005037049702656</t>
        </is>
      </c>
      <c r="AX453" t="inlineStr">
        <is>
          <t>991005037049702656</t>
        </is>
      </c>
      <c r="AY453" t="inlineStr">
        <is>
          <t>2259222310002656</t>
        </is>
      </c>
      <c r="AZ453" t="inlineStr">
        <is>
          <t>BOOK</t>
        </is>
      </c>
      <c r="BB453" t="inlineStr">
        <is>
          <t>9780470010051</t>
        </is>
      </c>
      <c r="BC453" t="inlineStr">
        <is>
          <t>32285005282487</t>
        </is>
      </c>
      <c r="BD453" t="inlineStr">
        <is>
          <t>893242099</t>
        </is>
      </c>
    </row>
    <row r="454">
      <c r="A454" t="inlineStr">
        <is>
          <t>No</t>
        </is>
      </c>
      <c r="B454" t="inlineStr">
        <is>
          <t>QD172.R2 N6</t>
        </is>
      </c>
      <c r="C454" t="inlineStr">
        <is>
          <t>0                      QD 0172000R  2                  N  6</t>
        </is>
      </c>
      <c r="D454" t="inlineStr">
        <is>
          <t>A system of qualitative analysis for the rare elements, by Arthur A. Noyes ... and William C. Bray ...</t>
        </is>
      </c>
      <c r="F454" t="inlineStr">
        <is>
          <t>No</t>
        </is>
      </c>
      <c r="G454" t="inlineStr">
        <is>
          <t>1</t>
        </is>
      </c>
      <c r="H454" t="inlineStr">
        <is>
          <t>No</t>
        </is>
      </c>
      <c r="I454" t="inlineStr">
        <is>
          <t>No</t>
        </is>
      </c>
      <c r="J454" t="inlineStr">
        <is>
          <t>0</t>
        </is>
      </c>
      <c r="K454" t="inlineStr">
        <is>
          <t>Noyes, Arthur A. (Arthur Amos), 1866-1936.</t>
        </is>
      </c>
      <c r="L454" t="inlineStr">
        <is>
          <t>New York, The Macmillan company; London, Macmillan &amp; co., ltd., 1927.</t>
        </is>
      </c>
      <c r="M454" t="inlineStr">
        <is>
          <t>1927</t>
        </is>
      </c>
      <c r="O454" t="inlineStr">
        <is>
          <t>eng</t>
        </is>
      </c>
      <c r="P454" t="inlineStr">
        <is>
          <t>nyu</t>
        </is>
      </c>
      <c r="R454" t="inlineStr">
        <is>
          <t xml:space="preserve">QD </t>
        </is>
      </c>
      <c r="S454" t="n">
        <v>1</v>
      </c>
      <c r="T454" t="n">
        <v>1</v>
      </c>
      <c r="U454" t="inlineStr">
        <is>
          <t>2010-02-25</t>
        </is>
      </c>
      <c r="V454" t="inlineStr">
        <is>
          <t>2010-02-25</t>
        </is>
      </c>
      <c r="W454" t="inlineStr">
        <is>
          <t>1997-06-09</t>
        </is>
      </c>
      <c r="X454" t="inlineStr">
        <is>
          <t>1997-06-09</t>
        </is>
      </c>
      <c r="Y454" t="n">
        <v>264</v>
      </c>
      <c r="Z454" t="n">
        <v>215</v>
      </c>
      <c r="AA454" t="n">
        <v>239</v>
      </c>
      <c r="AB454" t="n">
        <v>2</v>
      </c>
      <c r="AC454" t="n">
        <v>2</v>
      </c>
      <c r="AD454" t="n">
        <v>6</v>
      </c>
      <c r="AE454" t="n">
        <v>7</v>
      </c>
      <c r="AF454" t="n">
        <v>1</v>
      </c>
      <c r="AG454" t="n">
        <v>1</v>
      </c>
      <c r="AH454" t="n">
        <v>2</v>
      </c>
      <c r="AI454" t="n">
        <v>3</v>
      </c>
      <c r="AJ454" t="n">
        <v>3</v>
      </c>
      <c r="AK454" t="n">
        <v>3</v>
      </c>
      <c r="AL454" t="n">
        <v>1</v>
      </c>
      <c r="AM454" t="n">
        <v>1</v>
      </c>
      <c r="AN454" t="n">
        <v>0</v>
      </c>
      <c r="AO454" t="n">
        <v>0</v>
      </c>
      <c r="AP454" t="inlineStr">
        <is>
          <t>No</t>
        </is>
      </c>
      <c r="AQ454" t="inlineStr">
        <is>
          <t>Yes</t>
        </is>
      </c>
      <c r="AR454">
        <f>HYPERLINK("http://catalog.hathitrust.org/Record/001033048","HathiTrust Record")</f>
        <v/>
      </c>
      <c r="AS454">
        <f>HYPERLINK("https://creighton-primo.hosted.exlibrisgroup.com/primo-explore/search?tab=default_tab&amp;search_scope=EVERYTHING&amp;vid=01CRU&amp;lang=en_US&amp;offset=0&amp;query=any,contains,991004013189702656","Catalog Record")</f>
        <v/>
      </c>
      <c r="AT454">
        <f>HYPERLINK("http://www.worldcat.org/oclc/2097557","WorldCat Record")</f>
        <v/>
      </c>
      <c r="AU454" t="inlineStr">
        <is>
          <t>4229146:eng</t>
        </is>
      </c>
      <c r="AV454" t="inlineStr">
        <is>
          <t>2097557</t>
        </is>
      </c>
      <c r="AW454" t="inlineStr">
        <is>
          <t>991004013189702656</t>
        </is>
      </c>
      <c r="AX454" t="inlineStr">
        <is>
          <t>991004013189702656</t>
        </is>
      </c>
      <c r="AY454" t="inlineStr">
        <is>
          <t>2268750650002656</t>
        </is>
      </c>
      <c r="AZ454" t="inlineStr">
        <is>
          <t>BOOK</t>
        </is>
      </c>
      <c r="BC454" t="inlineStr">
        <is>
          <t>32285002792579</t>
        </is>
      </c>
      <c r="BD454" t="inlineStr">
        <is>
          <t>893718359</t>
        </is>
      </c>
    </row>
    <row r="455">
      <c r="A455" t="inlineStr">
        <is>
          <t>No</t>
        </is>
      </c>
      <c r="B455" t="inlineStr">
        <is>
          <t>QD172.R2 T6</t>
        </is>
      </c>
      <c r="C455" t="inlineStr">
        <is>
          <t>0                      QD 0172000R  2                  T  6</t>
        </is>
      </c>
      <c r="D455" t="inlineStr">
        <is>
          <t>The chemistry of the rare-earth elements / by N.E. Topp.</t>
        </is>
      </c>
      <c r="F455" t="inlineStr">
        <is>
          <t>No</t>
        </is>
      </c>
      <c r="G455" t="inlineStr">
        <is>
          <t>1</t>
        </is>
      </c>
      <c r="H455" t="inlineStr">
        <is>
          <t>No</t>
        </is>
      </c>
      <c r="I455" t="inlineStr">
        <is>
          <t>No</t>
        </is>
      </c>
      <c r="J455" t="inlineStr">
        <is>
          <t>0</t>
        </is>
      </c>
      <c r="K455" t="inlineStr">
        <is>
          <t>Topp, N. E.</t>
        </is>
      </c>
      <c r="L455" t="inlineStr">
        <is>
          <t>Amsterdam ; New York : Elsevier Pub. Co., 1965.</t>
        </is>
      </c>
      <c r="M455" t="inlineStr">
        <is>
          <t>1965</t>
        </is>
      </c>
      <c r="O455" t="inlineStr">
        <is>
          <t>eng</t>
        </is>
      </c>
      <c r="P455" t="inlineStr">
        <is>
          <t xml:space="preserve">ne </t>
        </is>
      </c>
      <c r="Q455" t="inlineStr">
        <is>
          <t>Topics in inorganic and general chemistry ; monograph 4</t>
        </is>
      </c>
      <c r="R455" t="inlineStr">
        <is>
          <t xml:space="preserve">QD </t>
        </is>
      </c>
      <c r="S455" t="n">
        <v>1</v>
      </c>
      <c r="T455" t="n">
        <v>1</v>
      </c>
      <c r="U455" t="inlineStr">
        <is>
          <t>2010-02-25</t>
        </is>
      </c>
      <c r="V455" t="inlineStr">
        <is>
          <t>2010-02-25</t>
        </is>
      </c>
      <c r="W455" t="inlineStr">
        <is>
          <t>1994-12-08</t>
        </is>
      </c>
      <c r="X455" t="inlineStr">
        <is>
          <t>1994-12-08</t>
        </is>
      </c>
      <c r="Y455" t="n">
        <v>413</v>
      </c>
      <c r="Z455" t="n">
        <v>291</v>
      </c>
      <c r="AA455" t="n">
        <v>294</v>
      </c>
      <c r="AB455" t="n">
        <v>6</v>
      </c>
      <c r="AC455" t="n">
        <v>6</v>
      </c>
      <c r="AD455" t="n">
        <v>17</v>
      </c>
      <c r="AE455" t="n">
        <v>17</v>
      </c>
      <c r="AF455" t="n">
        <v>4</v>
      </c>
      <c r="AG455" t="n">
        <v>4</v>
      </c>
      <c r="AH455" t="n">
        <v>3</v>
      </c>
      <c r="AI455" t="n">
        <v>3</v>
      </c>
      <c r="AJ455" t="n">
        <v>10</v>
      </c>
      <c r="AK455" t="n">
        <v>10</v>
      </c>
      <c r="AL455" t="n">
        <v>5</v>
      </c>
      <c r="AM455" t="n">
        <v>5</v>
      </c>
      <c r="AN455" t="n">
        <v>0</v>
      </c>
      <c r="AO455" t="n">
        <v>0</v>
      </c>
      <c r="AP455" t="inlineStr">
        <is>
          <t>No</t>
        </is>
      </c>
      <c r="AQ455" t="inlineStr">
        <is>
          <t>Yes</t>
        </is>
      </c>
      <c r="AR455">
        <f>HYPERLINK("http://catalog.hathitrust.org/Record/001033055","HathiTrust Record")</f>
        <v/>
      </c>
      <c r="AS455">
        <f>HYPERLINK("https://creighton-primo.hosted.exlibrisgroup.com/primo-explore/search?tab=default_tab&amp;search_scope=EVERYTHING&amp;vid=01CRU&amp;lang=en_US&amp;offset=0&amp;query=any,contains,991004006889702656","Catalog Record")</f>
        <v/>
      </c>
      <c r="AT455">
        <f>HYPERLINK("http://www.worldcat.org/oclc/2087481","WorldCat Record")</f>
        <v/>
      </c>
      <c r="AU455" t="inlineStr">
        <is>
          <t>4180241:eng</t>
        </is>
      </c>
      <c r="AV455" t="inlineStr">
        <is>
          <t>2087481</t>
        </is>
      </c>
      <c r="AW455" t="inlineStr">
        <is>
          <t>991004006889702656</t>
        </is>
      </c>
      <c r="AX455" t="inlineStr">
        <is>
          <t>991004006889702656</t>
        </is>
      </c>
      <c r="AY455" t="inlineStr">
        <is>
          <t>2255959610002656</t>
        </is>
      </c>
      <c r="AZ455" t="inlineStr">
        <is>
          <t>BOOK</t>
        </is>
      </c>
      <c r="BC455" t="inlineStr">
        <is>
          <t>32285001980589</t>
        </is>
      </c>
      <c r="BD455" t="inlineStr">
        <is>
          <t>893800469</t>
        </is>
      </c>
    </row>
    <row r="456">
      <c r="A456" t="inlineStr">
        <is>
          <t>No</t>
        </is>
      </c>
      <c r="B456" t="inlineStr">
        <is>
          <t>QD172.R2 V45 1961</t>
        </is>
      </c>
      <c r="C456" t="inlineStr">
        <is>
          <t>0                      QD 0172000R  2                  V  45          1961</t>
        </is>
      </c>
      <c r="D456" t="inlineStr">
        <is>
          <t>Analytical chemistry of the rare earths.</t>
        </is>
      </c>
      <c r="F456" t="inlineStr">
        <is>
          <t>No</t>
        </is>
      </c>
      <c r="G456" t="inlineStr">
        <is>
          <t>1</t>
        </is>
      </c>
      <c r="H456" t="inlineStr">
        <is>
          <t>No</t>
        </is>
      </c>
      <c r="I456" t="inlineStr">
        <is>
          <t>No</t>
        </is>
      </c>
      <c r="J456" t="inlineStr">
        <is>
          <t>0</t>
        </is>
      </c>
      <c r="K456" t="inlineStr">
        <is>
          <t>Vickery, R. C.</t>
        </is>
      </c>
      <c r="L456" t="inlineStr">
        <is>
          <t>Oxford, New York, Pergamon Press, 1961.</t>
        </is>
      </c>
      <c r="M456" t="inlineStr">
        <is>
          <t>1961</t>
        </is>
      </c>
      <c r="O456" t="inlineStr">
        <is>
          <t>eng</t>
        </is>
      </c>
      <c r="P456" t="inlineStr">
        <is>
          <t>enk</t>
        </is>
      </c>
      <c r="Q456" t="inlineStr">
        <is>
          <t>International series of monographs on analytical chemistry, v. 3</t>
        </is>
      </c>
      <c r="R456" t="inlineStr">
        <is>
          <t xml:space="preserve">QD </t>
        </is>
      </c>
      <c r="S456" t="n">
        <v>1</v>
      </c>
      <c r="T456" t="n">
        <v>1</v>
      </c>
      <c r="U456" t="inlineStr">
        <is>
          <t>2010-02-25</t>
        </is>
      </c>
      <c r="V456" t="inlineStr">
        <is>
          <t>2010-02-25</t>
        </is>
      </c>
      <c r="W456" t="inlineStr">
        <is>
          <t>1997-06-09</t>
        </is>
      </c>
      <c r="X456" t="inlineStr">
        <is>
          <t>1997-06-09</t>
        </is>
      </c>
      <c r="Y456" t="n">
        <v>291</v>
      </c>
      <c r="Z456" t="n">
        <v>206</v>
      </c>
      <c r="AA456" t="n">
        <v>209</v>
      </c>
      <c r="AB456" t="n">
        <v>2</v>
      </c>
      <c r="AC456" t="n">
        <v>2</v>
      </c>
      <c r="AD456" t="n">
        <v>9</v>
      </c>
      <c r="AE456" t="n">
        <v>9</v>
      </c>
      <c r="AF456" t="n">
        <v>1</v>
      </c>
      <c r="AG456" t="n">
        <v>1</v>
      </c>
      <c r="AH456" t="n">
        <v>3</v>
      </c>
      <c r="AI456" t="n">
        <v>3</v>
      </c>
      <c r="AJ456" t="n">
        <v>7</v>
      </c>
      <c r="AK456" t="n">
        <v>7</v>
      </c>
      <c r="AL456" t="n">
        <v>1</v>
      </c>
      <c r="AM456" t="n">
        <v>1</v>
      </c>
      <c r="AN456" t="n">
        <v>0</v>
      </c>
      <c r="AO456" t="n">
        <v>0</v>
      </c>
      <c r="AP456" t="inlineStr">
        <is>
          <t>No</t>
        </is>
      </c>
      <c r="AQ456" t="inlineStr">
        <is>
          <t>Yes</t>
        </is>
      </c>
      <c r="AR456">
        <f>HYPERLINK("http://catalog.hathitrust.org/Record/001033056","HathiTrust Record")</f>
        <v/>
      </c>
      <c r="AS456">
        <f>HYPERLINK("https://creighton-primo.hosted.exlibrisgroup.com/primo-explore/search?tab=default_tab&amp;search_scope=EVERYTHING&amp;vid=01CRU&amp;lang=en_US&amp;offset=0&amp;query=any,contains,991003461199702656","Catalog Record")</f>
        <v/>
      </c>
      <c r="AT456">
        <f>HYPERLINK("http://www.worldcat.org/oclc/1002919","WorldCat Record")</f>
        <v/>
      </c>
      <c r="AU456" t="inlineStr">
        <is>
          <t>1918273:eng</t>
        </is>
      </c>
      <c r="AV456" t="inlineStr">
        <is>
          <t>1002919</t>
        </is>
      </c>
      <c r="AW456" t="inlineStr">
        <is>
          <t>991003461199702656</t>
        </is>
      </c>
      <c r="AX456" t="inlineStr">
        <is>
          <t>991003461199702656</t>
        </is>
      </c>
      <c r="AY456" t="inlineStr">
        <is>
          <t>2257142140002656</t>
        </is>
      </c>
      <c r="AZ456" t="inlineStr">
        <is>
          <t>BOOK</t>
        </is>
      </c>
      <c r="BC456" t="inlineStr">
        <is>
          <t>32285002792587</t>
        </is>
      </c>
      <c r="BD456" t="inlineStr">
        <is>
          <t>893246363</t>
        </is>
      </c>
    </row>
    <row r="457">
      <c r="A457" t="inlineStr">
        <is>
          <t>No</t>
        </is>
      </c>
      <c r="B457" t="inlineStr">
        <is>
          <t>QD172.R2 Y6</t>
        </is>
      </c>
      <c r="C457" t="inlineStr">
        <is>
          <t>0                      QD 0172000R  2                  Y  6</t>
        </is>
      </c>
      <c r="D457" t="inlineStr">
        <is>
          <t>The rare-earth elements and their compounds / by Don M. Yost, Horace Russell, jr. and Clifford S. Garner.</t>
        </is>
      </c>
      <c r="F457" t="inlineStr">
        <is>
          <t>No</t>
        </is>
      </c>
      <c r="G457" t="inlineStr">
        <is>
          <t>1</t>
        </is>
      </c>
      <c r="H457" t="inlineStr">
        <is>
          <t>No</t>
        </is>
      </c>
      <c r="I457" t="inlineStr">
        <is>
          <t>No</t>
        </is>
      </c>
      <c r="J457" t="inlineStr">
        <is>
          <t>0</t>
        </is>
      </c>
      <c r="K457" t="inlineStr">
        <is>
          <t>Yost, Don M., 1893-</t>
        </is>
      </c>
      <c r="L457" t="inlineStr">
        <is>
          <t>New York : J. Wiley &amp; sons, inc. ; London : Chapman &amp; Hall, limited, [1947]</t>
        </is>
      </c>
      <c r="M457" t="inlineStr">
        <is>
          <t>1947</t>
        </is>
      </c>
      <c r="O457" t="inlineStr">
        <is>
          <t>eng</t>
        </is>
      </c>
      <c r="P457" t="inlineStr">
        <is>
          <t>enk</t>
        </is>
      </c>
      <c r="R457" t="inlineStr">
        <is>
          <t xml:space="preserve">QD </t>
        </is>
      </c>
      <c r="S457" t="n">
        <v>1</v>
      </c>
      <c r="T457" t="n">
        <v>1</v>
      </c>
      <c r="U457" t="inlineStr">
        <is>
          <t>2010-02-25</t>
        </is>
      </c>
      <c r="V457" t="inlineStr">
        <is>
          <t>2010-02-25</t>
        </is>
      </c>
      <c r="W457" t="inlineStr">
        <is>
          <t>1994-12-08</t>
        </is>
      </c>
      <c r="X457" t="inlineStr">
        <is>
          <t>1994-12-08</t>
        </is>
      </c>
      <c r="Y457" t="n">
        <v>436</v>
      </c>
      <c r="Z457" t="n">
        <v>367</v>
      </c>
      <c r="AA457" t="n">
        <v>377</v>
      </c>
      <c r="AB457" t="n">
        <v>4</v>
      </c>
      <c r="AC457" t="n">
        <v>4</v>
      </c>
      <c r="AD457" t="n">
        <v>18</v>
      </c>
      <c r="AE457" t="n">
        <v>18</v>
      </c>
      <c r="AF457" t="n">
        <v>3</v>
      </c>
      <c r="AG457" t="n">
        <v>3</v>
      </c>
      <c r="AH457" t="n">
        <v>4</v>
      </c>
      <c r="AI457" t="n">
        <v>4</v>
      </c>
      <c r="AJ457" t="n">
        <v>10</v>
      </c>
      <c r="AK457" t="n">
        <v>10</v>
      </c>
      <c r="AL457" t="n">
        <v>3</v>
      </c>
      <c r="AM457" t="n">
        <v>3</v>
      </c>
      <c r="AN457" t="n">
        <v>0</v>
      </c>
      <c r="AO457" t="n">
        <v>0</v>
      </c>
      <c r="AP457" t="inlineStr">
        <is>
          <t>No</t>
        </is>
      </c>
      <c r="AQ457" t="inlineStr">
        <is>
          <t>Yes</t>
        </is>
      </c>
      <c r="AR457">
        <f>HYPERLINK("http://catalog.hathitrust.org/Record/001113582","HathiTrust Record")</f>
        <v/>
      </c>
      <c r="AS457">
        <f>HYPERLINK("https://creighton-primo.hosted.exlibrisgroup.com/primo-explore/search?tab=default_tab&amp;search_scope=EVERYTHING&amp;vid=01CRU&amp;lang=en_US&amp;offset=0&amp;query=any,contains,991003757339702656","Catalog Record")</f>
        <v/>
      </c>
      <c r="AT457">
        <f>HYPERLINK("http://www.worldcat.org/oclc/1440329","WorldCat Record")</f>
        <v/>
      </c>
      <c r="AU457" t="inlineStr">
        <is>
          <t>2343812:eng</t>
        </is>
      </c>
      <c r="AV457" t="inlineStr">
        <is>
          <t>1440329</t>
        </is>
      </c>
      <c r="AW457" t="inlineStr">
        <is>
          <t>991003757339702656</t>
        </is>
      </c>
      <c r="AX457" t="inlineStr">
        <is>
          <t>991003757339702656</t>
        </is>
      </c>
      <c r="AY457" t="inlineStr">
        <is>
          <t>2257747700002656</t>
        </is>
      </c>
      <c r="AZ457" t="inlineStr">
        <is>
          <t>BOOK</t>
        </is>
      </c>
      <c r="BC457" t="inlineStr">
        <is>
          <t>32285001980571</t>
        </is>
      </c>
      <c r="BD457" t="inlineStr">
        <is>
          <t>893781358</t>
        </is>
      </c>
    </row>
    <row r="458">
      <c r="A458" t="inlineStr">
        <is>
          <t>No</t>
        </is>
      </c>
      <c r="B458" t="inlineStr">
        <is>
          <t>QD172.T6 B35 2000</t>
        </is>
      </c>
      <c r="C458" t="inlineStr">
        <is>
          <t>0                      QD 0172000T  6                  B  35          2000</t>
        </is>
      </c>
      <c r="D458" t="inlineStr">
        <is>
          <t>Organic synthesis using transition metals / Roderick Bates.</t>
        </is>
      </c>
      <c r="F458" t="inlineStr">
        <is>
          <t>No</t>
        </is>
      </c>
      <c r="G458" t="inlineStr">
        <is>
          <t>1</t>
        </is>
      </c>
      <c r="H458" t="inlineStr">
        <is>
          <t>No</t>
        </is>
      </c>
      <c r="I458" t="inlineStr">
        <is>
          <t>No</t>
        </is>
      </c>
      <c r="J458" t="inlineStr">
        <is>
          <t>0</t>
        </is>
      </c>
      <c r="K458" t="inlineStr">
        <is>
          <t>Bates, Roderick.</t>
        </is>
      </c>
      <c r="L458" t="inlineStr">
        <is>
          <t>Sheffield : Sheffield Academic, 2000.</t>
        </is>
      </c>
      <c r="M458" t="inlineStr">
        <is>
          <t>2000</t>
        </is>
      </c>
      <c r="O458" t="inlineStr">
        <is>
          <t>eng</t>
        </is>
      </c>
      <c r="P458" t="inlineStr">
        <is>
          <t>enk</t>
        </is>
      </c>
      <c r="Q458" t="inlineStr">
        <is>
          <t>Postgraduate chemistry series</t>
        </is>
      </c>
      <c r="R458" t="inlineStr">
        <is>
          <t xml:space="preserve">QD </t>
        </is>
      </c>
      <c r="S458" t="n">
        <v>2</v>
      </c>
      <c r="T458" t="n">
        <v>2</v>
      </c>
      <c r="U458" t="inlineStr">
        <is>
          <t>2010-04-09</t>
        </is>
      </c>
      <c r="V458" t="inlineStr">
        <is>
          <t>2010-04-09</t>
        </is>
      </c>
      <c r="W458" t="inlineStr">
        <is>
          <t>2001-03-27</t>
        </is>
      </c>
      <c r="X458" t="inlineStr">
        <is>
          <t>2001-03-27</t>
        </is>
      </c>
      <c r="Y458" t="n">
        <v>104</v>
      </c>
      <c r="Z458" t="n">
        <v>36</v>
      </c>
      <c r="AA458" t="n">
        <v>163</v>
      </c>
      <c r="AB458" t="n">
        <v>1</v>
      </c>
      <c r="AC458" t="n">
        <v>1</v>
      </c>
      <c r="AD458" t="n">
        <v>2</v>
      </c>
      <c r="AE458" t="n">
        <v>5</v>
      </c>
      <c r="AF458" t="n">
        <v>0</v>
      </c>
      <c r="AG458" t="n">
        <v>0</v>
      </c>
      <c r="AH458" t="n">
        <v>1</v>
      </c>
      <c r="AI458" t="n">
        <v>4</v>
      </c>
      <c r="AJ458" t="n">
        <v>2</v>
      </c>
      <c r="AK458" t="n">
        <v>3</v>
      </c>
      <c r="AL458" t="n">
        <v>0</v>
      </c>
      <c r="AM458" t="n">
        <v>0</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HYPERLINK("https://creighton-primo.hosted.exlibrisgroup.com/primo-explore/search?tab=default_tab&amp;search_scope=EVERYTHING&amp;vid=01CRU&amp;lang=en_US&amp;offset=0&amp;query=any,contains,991003475569702656","Catalog Record")</f>
        <v/>
      </c>
      <c r="AT458">
        <f>HYPERLINK("http://www.worldcat.org/oclc/45101414","WorldCat Record")</f>
        <v/>
      </c>
      <c r="AU458" t="inlineStr">
        <is>
          <t>34541120:eng</t>
        </is>
      </c>
      <c r="AV458" t="inlineStr">
        <is>
          <t>45101414</t>
        </is>
      </c>
      <c r="AW458" t="inlineStr">
        <is>
          <t>991003475569702656</t>
        </is>
      </c>
      <c r="AX458" t="inlineStr">
        <is>
          <t>991003475569702656</t>
        </is>
      </c>
      <c r="AY458" t="inlineStr">
        <is>
          <t>2256303700002656</t>
        </is>
      </c>
      <c r="AZ458" t="inlineStr">
        <is>
          <t>BOOK</t>
        </is>
      </c>
      <c r="BB458" t="inlineStr">
        <is>
          <t>9781841271071</t>
        </is>
      </c>
      <c r="BC458" t="inlineStr">
        <is>
          <t>32285004307418</t>
        </is>
      </c>
      <c r="BD458" t="inlineStr">
        <is>
          <t>893705253</t>
        </is>
      </c>
    </row>
    <row r="459">
      <c r="A459" t="inlineStr">
        <is>
          <t>No</t>
        </is>
      </c>
      <c r="B459" t="inlineStr">
        <is>
          <t>QD172.T6 C73 1988</t>
        </is>
      </c>
      <c r="C459" t="inlineStr">
        <is>
          <t>0                      QD 0172000T  6                  C  73          1988</t>
        </is>
      </c>
      <c r="D459" t="inlineStr">
        <is>
          <t>The organometallic chemistry of the transition metals / Robert H. Crabtree.</t>
        </is>
      </c>
      <c r="F459" t="inlineStr">
        <is>
          <t>No</t>
        </is>
      </c>
      <c r="G459" t="inlineStr">
        <is>
          <t>1</t>
        </is>
      </c>
      <c r="H459" t="inlineStr">
        <is>
          <t>No</t>
        </is>
      </c>
      <c r="I459" t="inlineStr">
        <is>
          <t>No</t>
        </is>
      </c>
      <c r="J459" t="inlineStr">
        <is>
          <t>0</t>
        </is>
      </c>
      <c r="K459" t="inlineStr">
        <is>
          <t>Crabtree, Robert H., 1948-</t>
        </is>
      </c>
      <c r="L459" t="inlineStr">
        <is>
          <t>New York : Wiley, c1988.</t>
        </is>
      </c>
      <c r="M459" t="inlineStr">
        <is>
          <t>1988</t>
        </is>
      </c>
      <c r="O459" t="inlineStr">
        <is>
          <t>eng</t>
        </is>
      </c>
      <c r="P459" t="inlineStr">
        <is>
          <t>nyu</t>
        </is>
      </c>
      <c r="R459" t="inlineStr">
        <is>
          <t xml:space="preserve">QD </t>
        </is>
      </c>
      <c r="S459" t="n">
        <v>8</v>
      </c>
      <c r="T459" t="n">
        <v>8</v>
      </c>
      <c r="U459" t="inlineStr">
        <is>
          <t>2003-09-16</t>
        </is>
      </c>
      <c r="V459" t="inlineStr">
        <is>
          <t>2003-09-16</t>
        </is>
      </c>
      <c r="W459" t="inlineStr">
        <is>
          <t>1993-01-25</t>
        </is>
      </c>
      <c r="X459" t="inlineStr">
        <is>
          <t>1993-01-25</t>
        </is>
      </c>
      <c r="Y459" t="n">
        <v>564</v>
      </c>
      <c r="Z459" t="n">
        <v>413</v>
      </c>
      <c r="AA459" t="n">
        <v>1080</v>
      </c>
      <c r="AB459" t="n">
        <v>3</v>
      </c>
      <c r="AC459" t="n">
        <v>9</v>
      </c>
      <c r="AD459" t="n">
        <v>14</v>
      </c>
      <c r="AE459" t="n">
        <v>50</v>
      </c>
      <c r="AF459" t="n">
        <v>4</v>
      </c>
      <c r="AG459" t="n">
        <v>18</v>
      </c>
      <c r="AH459" t="n">
        <v>3</v>
      </c>
      <c r="AI459" t="n">
        <v>10</v>
      </c>
      <c r="AJ459" t="n">
        <v>8</v>
      </c>
      <c r="AK459" t="n">
        <v>23</v>
      </c>
      <c r="AL459" t="n">
        <v>2</v>
      </c>
      <c r="AM459" t="n">
        <v>8</v>
      </c>
      <c r="AN459" t="n">
        <v>0</v>
      </c>
      <c r="AO459" t="n">
        <v>1</v>
      </c>
      <c r="AP459" t="inlineStr">
        <is>
          <t>No</t>
        </is>
      </c>
      <c r="AQ459" t="inlineStr">
        <is>
          <t>Yes</t>
        </is>
      </c>
      <c r="AR459">
        <f>HYPERLINK("http://catalog.hathitrust.org/Record/000873148","HathiTrust Record")</f>
        <v/>
      </c>
      <c r="AS459">
        <f>HYPERLINK("https://creighton-primo.hosted.exlibrisgroup.com/primo-explore/search?tab=default_tab&amp;search_scope=EVERYTHING&amp;vid=01CRU&amp;lang=en_US&amp;offset=0&amp;query=any,contains,991001106049702656","Catalog Record")</f>
        <v/>
      </c>
      <c r="AT459">
        <f>HYPERLINK("http://www.worldcat.org/oclc/16405328","WorldCat Record")</f>
        <v/>
      </c>
      <c r="AU459" t="inlineStr">
        <is>
          <t>340756:eng</t>
        </is>
      </c>
      <c r="AV459" t="inlineStr">
        <is>
          <t>16405328</t>
        </is>
      </c>
      <c r="AW459" t="inlineStr">
        <is>
          <t>991001106049702656</t>
        </is>
      </c>
      <c r="AX459" t="inlineStr">
        <is>
          <t>991001106049702656</t>
        </is>
      </c>
      <c r="AY459" t="inlineStr">
        <is>
          <t>2263195850002656</t>
        </is>
      </c>
      <c r="AZ459" t="inlineStr">
        <is>
          <t>BOOK</t>
        </is>
      </c>
      <c r="BB459" t="inlineStr">
        <is>
          <t>9780471853060</t>
        </is>
      </c>
      <c r="BC459" t="inlineStr">
        <is>
          <t>32285001515658</t>
        </is>
      </c>
      <c r="BD459" t="inlineStr">
        <is>
          <t>893626569</t>
        </is>
      </c>
    </row>
    <row r="460">
      <c r="A460" t="inlineStr">
        <is>
          <t>No</t>
        </is>
      </c>
      <c r="B460" t="inlineStr">
        <is>
          <t>QD172.T6 J66 2002</t>
        </is>
      </c>
      <c r="C460" t="inlineStr">
        <is>
          <t>0                      QD 0172000T  6                  J  66          2002</t>
        </is>
      </c>
      <c r="D460" t="inlineStr">
        <is>
          <t>d- and f-block chemistry / Chris J. Jones.</t>
        </is>
      </c>
      <c r="F460" t="inlineStr">
        <is>
          <t>No</t>
        </is>
      </c>
      <c r="G460" t="inlineStr">
        <is>
          <t>1</t>
        </is>
      </c>
      <c r="H460" t="inlineStr">
        <is>
          <t>No</t>
        </is>
      </c>
      <c r="I460" t="inlineStr">
        <is>
          <t>No</t>
        </is>
      </c>
      <c r="J460" t="inlineStr">
        <is>
          <t>0</t>
        </is>
      </c>
      <c r="K460" t="inlineStr">
        <is>
          <t>Jones, Chris J.</t>
        </is>
      </c>
      <c r="L460" t="inlineStr">
        <is>
          <t>New York : J. Wiley, c2002.</t>
        </is>
      </c>
      <c r="M460" t="inlineStr">
        <is>
          <t>2002</t>
        </is>
      </c>
      <c r="O460" t="inlineStr">
        <is>
          <t>eng</t>
        </is>
      </c>
      <c r="P460" t="inlineStr">
        <is>
          <t>nyu</t>
        </is>
      </c>
      <c r="Q460" t="inlineStr">
        <is>
          <t>Basic concepts in chemistry</t>
        </is>
      </c>
      <c r="R460" t="inlineStr">
        <is>
          <t xml:space="preserve">QD </t>
        </is>
      </c>
      <c r="S460" t="n">
        <v>1</v>
      </c>
      <c r="T460" t="n">
        <v>1</v>
      </c>
      <c r="U460" t="inlineStr">
        <is>
          <t>2003-11-17</t>
        </is>
      </c>
      <c r="V460" t="inlineStr">
        <is>
          <t>2003-11-17</t>
        </is>
      </c>
      <c r="W460" t="inlineStr">
        <is>
          <t>2003-11-17</t>
        </is>
      </c>
      <c r="X460" t="inlineStr">
        <is>
          <t>2003-11-17</t>
        </is>
      </c>
      <c r="Y460" t="n">
        <v>171</v>
      </c>
      <c r="Z460" t="n">
        <v>136</v>
      </c>
      <c r="AA460" t="n">
        <v>236</v>
      </c>
      <c r="AB460" t="n">
        <v>1</v>
      </c>
      <c r="AC460" t="n">
        <v>2</v>
      </c>
      <c r="AD460" t="n">
        <v>6</v>
      </c>
      <c r="AE460" t="n">
        <v>12</v>
      </c>
      <c r="AF460" t="n">
        <v>2</v>
      </c>
      <c r="AG460" t="n">
        <v>3</v>
      </c>
      <c r="AH460" t="n">
        <v>2</v>
      </c>
      <c r="AI460" t="n">
        <v>4</v>
      </c>
      <c r="AJ460" t="n">
        <v>3</v>
      </c>
      <c r="AK460" t="n">
        <v>6</v>
      </c>
      <c r="AL460" t="n">
        <v>0</v>
      </c>
      <c r="AM460" t="n">
        <v>1</v>
      </c>
      <c r="AN460" t="n">
        <v>0</v>
      </c>
      <c r="AO460" t="n">
        <v>0</v>
      </c>
      <c r="AP460" t="inlineStr">
        <is>
          <t>No</t>
        </is>
      </c>
      <c r="AQ460" t="inlineStr">
        <is>
          <t>No</t>
        </is>
      </c>
      <c r="AS460">
        <f>HYPERLINK("https://creighton-primo.hosted.exlibrisgroup.com/primo-explore/search?tab=default_tab&amp;search_scope=EVERYTHING&amp;vid=01CRU&amp;lang=en_US&amp;offset=0&amp;query=any,contains,991004183009702656","Catalog Record")</f>
        <v/>
      </c>
      <c r="AT460">
        <f>HYPERLINK("http://www.worldcat.org/oclc/50064892","WorldCat Record")</f>
        <v/>
      </c>
      <c r="AU460" t="inlineStr">
        <is>
          <t>6137968:eng</t>
        </is>
      </c>
      <c r="AV460" t="inlineStr">
        <is>
          <t>50064892</t>
        </is>
      </c>
      <c r="AW460" t="inlineStr">
        <is>
          <t>991004183009702656</t>
        </is>
      </c>
      <c r="AX460" t="inlineStr">
        <is>
          <t>991004183009702656</t>
        </is>
      </c>
      <c r="AY460" t="inlineStr">
        <is>
          <t>2272481530002656</t>
        </is>
      </c>
      <c r="AZ460" t="inlineStr">
        <is>
          <t>BOOK</t>
        </is>
      </c>
      <c r="BB460" t="inlineStr">
        <is>
          <t>9780471224761</t>
        </is>
      </c>
      <c r="BC460" t="inlineStr">
        <is>
          <t>32285004798830</t>
        </is>
      </c>
      <c r="BD460" t="inlineStr">
        <is>
          <t>893423482</t>
        </is>
      </c>
    </row>
    <row r="461">
      <c r="A461" t="inlineStr">
        <is>
          <t>No</t>
        </is>
      </c>
      <c r="B461" t="inlineStr">
        <is>
          <t>QD172.T6 L3</t>
        </is>
      </c>
      <c r="C461" t="inlineStr">
        <is>
          <t>0                      QD 0172000T  6                  L  3</t>
        </is>
      </c>
      <c r="D461" t="inlineStr">
        <is>
          <t>Transitional elements / [by] Edwin M. Larsen.</t>
        </is>
      </c>
      <c r="F461" t="inlineStr">
        <is>
          <t>No</t>
        </is>
      </c>
      <c r="G461" t="inlineStr">
        <is>
          <t>1</t>
        </is>
      </c>
      <c r="H461" t="inlineStr">
        <is>
          <t>No</t>
        </is>
      </c>
      <c r="I461" t="inlineStr">
        <is>
          <t>No</t>
        </is>
      </c>
      <c r="J461" t="inlineStr">
        <is>
          <t>0</t>
        </is>
      </c>
      <c r="K461" t="inlineStr">
        <is>
          <t>Larsen, Edwin M.</t>
        </is>
      </c>
      <c r="L461" t="inlineStr">
        <is>
          <t>New York : W. A. Benjamin, 1965.</t>
        </is>
      </c>
      <c r="M461" t="inlineStr">
        <is>
          <t>1965</t>
        </is>
      </c>
      <c r="O461" t="inlineStr">
        <is>
          <t>eng</t>
        </is>
      </c>
      <c r="P461" t="inlineStr">
        <is>
          <t>nyu</t>
        </is>
      </c>
      <c r="Q461" t="inlineStr">
        <is>
          <t>The General chemistry monograph series</t>
        </is>
      </c>
      <c r="R461" t="inlineStr">
        <is>
          <t xml:space="preserve">QD </t>
        </is>
      </c>
      <c r="S461" t="n">
        <v>1</v>
      </c>
      <c r="T461" t="n">
        <v>1</v>
      </c>
      <c r="U461" t="inlineStr">
        <is>
          <t>2010-02-25</t>
        </is>
      </c>
      <c r="V461" t="inlineStr">
        <is>
          <t>2010-02-25</t>
        </is>
      </c>
      <c r="W461" t="inlineStr">
        <is>
          <t>1995-01-20</t>
        </is>
      </c>
      <c r="X461" t="inlineStr">
        <is>
          <t>1995-01-20</t>
        </is>
      </c>
      <c r="Y461" t="n">
        <v>605</v>
      </c>
      <c r="Z461" t="n">
        <v>485</v>
      </c>
      <c r="AA461" t="n">
        <v>490</v>
      </c>
      <c r="AB461" t="n">
        <v>5</v>
      </c>
      <c r="AC461" t="n">
        <v>5</v>
      </c>
      <c r="AD461" t="n">
        <v>21</v>
      </c>
      <c r="AE461" t="n">
        <v>21</v>
      </c>
      <c r="AF461" t="n">
        <v>7</v>
      </c>
      <c r="AG461" t="n">
        <v>7</v>
      </c>
      <c r="AH461" t="n">
        <v>4</v>
      </c>
      <c r="AI461" t="n">
        <v>4</v>
      </c>
      <c r="AJ461" t="n">
        <v>12</v>
      </c>
      <c r="AK461" t="n">
        <v>12</v>
      </c>
      <c r="AL461" t="n">
        <v>4</v>
      </c>
      <c r="AM461" t="n">
        <v>4</v>
      </c>
      <c r="AN461" t="n">
        <v>0</v>
      </c>
      <c r="AO461" t="n">
        <v>0</v>
      </c>
      <c r="AP461" t="inlineStr">
        <is>
          <t>No</t>
        </is>
      </c>
      <c r="AQ461" t="inlineStr">
        <is>
          <t>Yes</t>
        </is>
      </c>
      <c r="AR461">
        <f>HYPERLINK("http://catalog.hathitrust.org/Record/001113583","HathiTrust Record")</f>
        <v/>
      </c>
      <c r="AS461">
        <f>HYPERLINK("https://creighton-primo.hosted.exlibrisgroup.com/primo-explore/search?tab=default_tab&amp;search_scope=EVERYTHING&amp;vid=01CRU&amp;lang=en_US&amp;offset=0&amp;query=any,contains,991001639809702656","Catalog Record")</f>
        <v/>
      </c>
      <c r="AT461">
        <f>HYPERLINK("http://www.worldcat.org/oclc/233749","WorldCat Record")</f>
        <v/>
      </c>
      <c r="AU461" t="inlineStr">
        <is>
          <t>1362035:eng</t>
        </is>
      </c>
      <c r="AV461" t="inlineStr">
        <is>
          <t>233749</t>
        </is>
      </c>
      <c r="AW461" t="inlineStr">
        <is>
          <t>991001639809702656</t>
        </is>
      </c>
      <c r="AX461" t="inlineStr">
        <is>
          <t>991001639809702656</t>
        </is>
      </c>
      <c r="AY461" t="inlineStr">
        <is>
          <t>2259125030002656</t>
        </is>
      </c>
      <c r="AZ461" t="inlineStr">
        <is>
          <t>BOOK</t>
        </is>
      </c>
      <c r="BC461" t="inlineStr">
        <is>
          <t>32285001987105</t>
        </is>
      </c>
      <c r="BD461" t="inlineStr">
        <is>
          <t>893408248</t>
        </is>
      </c>
    </row>
    <row r="462">
      <c r="A462" t="inlineStr">
        <is>
          <t>No</t>
        </is>
      </c>
      <c r="B462" t="inlineStr">
        <is>
          <t>QD172.T6 T714 1981</t>
        </is>
      </c>
      <c r="C462" t="inlineStr">
        <is>
          <t>0                      QD 0172000T  6                  T  714         1981</t>
        </is>
      </c>
      <c r="D462" t="inlineStr">
        <is>
          <t>Transition metal chemistry : current problems of general, biological and catalytical relevance ; proceedings of a workshop held at Bielefeld, Germany, 14-17 July, 1980 / edited by A. Müller and E. Diemann.</t>
        </is>
      </c>
      <c r="F462" t="inlineStr">
        <is>
          <t>No</t>
        </is>
      </c>
      <c r="G462" t="inlineStr">
        <is>
          <t>1</t>
        </is>
      </c>
      <c r="H462" t="inlineStr">
        <is>
          <t>No</t>
        </is>
      </c>
      <c r="I462" t="inlineStr">
        <is>
          <t>No</t>
        </is>
      </c>
      <c r="J462" t="inlineStr">
        <is>
          <t>0</t>
        </is>
      </c>
      <c r="L462" t="inlineStr">
        <is>
          <t>Weinheim ; Deerfield Beach, Fla. : Verlag Chemie, 1981.</t>
        </is>
      </c>
      <c r="M462" t="inlineStr">
        <is>
          <t>1981</t>
        </is>
      </c>
      <c r="O462" t="inlineStr">
        <is>
          <t>eng</t>
        </is>
      </c>
      <c r="P462" t="inlineStr">
        <is>
          <t xml:space="preserve">gw </t>
        </is>
      </c>
      <c r="R462" t="inlineStr">
        <is>
          <t xml:space="preserve">QD </t>
        </is>
      </c>
      <c r="S462" t="n">
        <v>2</v>
      </c>
      <c r="T462" t="n">
        <v>2</v>
      </c>
      <c r="U462" t="inlineStr">
        <is>
          <t>1996-11-17</t>
        </is>
      </c>
      <c r="V462" t="inlineStr">
        <is>
          <t>1996-11-17</t>
        </is>
      </c>
      <c r="W462" t="inlineStr">
        <is>
          <t>1993-01-25</t>
        </is>
      </c>
      <c r="X462" t="inlineStr">
        <is>
          <t>1993-01-25</t>
        </is>
      </c>
      <c r="Y462" t="n">
        <v>297</v>
      </c>
      <c r="Z462" t="n">
        <v>201</v>
      </c>
      <c r="AA462" t="n">
        <v>208</v>
      </c>
      <c r="AB462" t="n">
        <v>1</v>
      </c>
      <c r="AC462" t="n">
        <v>1</v>
      </c>
      <c r="AD462" t="n">
        <v>7</v>
      </c>
      <c r="AE462" t="n">
        <v>7</v>
      </c>
      <c r="AF462" t="n">
        <v>1</v>
      </c>
      <c r="AG462" t="n">
        <v>1</v>
      </c>
      <c r="AH462" t="n">
        <v>4</v>
      </c>
      <c r="AI462" t="n">
        <v>4</v>
      </c>
      <c r="AJ462" t="n">
        <v>6</v>
      </c>
      <c r="AK462" t="n">
        <v>6</v>
      </c>
      <c r="AL462" t="n">
        <v>0</v>
      </c>
      <c r="AM462" t="n">
        <v>0</v>
      </c>
      <c r="AN462" t="n">
        <v>0</v>
      </c>
      <c r="AO462" t="n">
        <v>0</v>
      </c>
      <c r="AP462" t="inlineStr">
        <is>
          <t>No</t>
        </is>
      </c>
      <c r="AQ462" t="inlineStr">
        <is>
          <t>Yes</t>
        </is>
      </c>
      <c r="AR462">
        <f>HYPERLINK("http://catalog.hathitrust.org/Record/007871850","HathiTrust Record")</f>
        <v/>
      </c>
      <c r="AS462">
        <f>HYPERLINK("https://creighton-primo.hosted.exlibrisgroup.com/primo-explore/search?tab=default_tab&amp;search_scope=EVERYTHING&amp;vid=01CRU&amp;lang=en_US&amp;offset=0&amp;query=any,contains,991000027419702656","Catalog Record")</f>
        <v/>
      </c>
      <c r="AT462">
        <f>HYPERLINK("http://www.worldcat.org/oclc/8590233","WorldCat Record")</f>
        <v/>
      </c>
      <c r="AU462" t="inlineStr">
        <is>
          <t>942032076:eng</t>
        </is>
      </c>
      <c r="AV462" t="inlineStr">
        <is>
          <t>8590233</t>
        </is>
      </c>
      <c r="AW462" t="inlineStr">
        <is>
          <t>991000027419702656</t>
        </is>
      </c>
      <c r="AX462" t="inlineStr">
        <is>
          <t>991000027419702656</t>
        </is>
      </c>
      <c r="AY462" t="inlineStr">
        <is>
          <t>2271997710002656</t>
        </is>
      </c>
      <c r="AZ462" t="inlineStr">
        <is>
          <t>BOOK</t>
        </is>
      </c>
      <c r="BB462" t="inlineStr">
        <is>
          <t>9780895730398</t>
        </is>
      </c>
      <c r="BC462" t="inlineStr">
        <is>
          <t>32285001515666</t>
        </is>
      </c>
      <c r="BD462" t="inlineStr">
        <is>
          <t>893320748</t>
        </is>
      </c>
    </row>
    <row r="463">
      <c r="A463" t="inlineStr">
        <is>
          <t>No</t>
        </is>
      </c>
      <c r="B463" t="inlineStr">
        <is>
          <t>QD172.T6 T74 1991</t>
        </is>
      </c>
      <c r="C463" t="inlineStr">
        <is>
          <t>0                      QD 0172000T  6                  T  74          1991</t>
        </is>
      </c>
      <c r="D463" t="inlineStr">
        <is>
          <t>Transition metal nuclear magnetic resonance / edited by P.S. Pregosin.</t>
        </is>
      </c>
      <c r="F463" t="inlineStr">
        <is>
          <t>No</t>
        </is>
      </c>
      <c r="G463" t="inlineStr">
        <is>
          <t>1</t>
        </is>
      </c>
      <c r="H463" t="inlineStr">
        <is>
          <t>No</t>
        </is>
      </c>
      <c r="I463" t="inlineStr">
        <is>
          <t>No</t>
        </is>
      </c>
      <c r="J463" t="inlineStr">
        <is>
          <t>0</t>
        </is>
      </c>
      <c r="L463" t="inlineStr">
        <is>
          <t>Amsterdam, Netherlands ; New York : Elsevier ; New York, N.Y., U.S.A. : Distributors for the U.S. and Canada, Elsevier Science Pub. Co., 1991.</t>
        </is>
      </c>
      <c r="M463" t="inlineStr">
        <is>
          <t>1991</t>
        </is>
      </c>
      <c r="O463" t="inlineStr">
        <is>
          <t>eng</t>
        </is>
      </c>
      <c r="P463" t="inlineStr">
        <is>
          <t xml:space="preserve">ne </t>
        </is>
      </c>
      <c r="Q463" t="inlineStr">
        <is>
          <t>Studies in inorganic chemistry ; 13</t>
        </is>
      </c>
      <c r="R463" t="inlineStr">
        <is>
          <t xml:space="preserve">QD </t>
        </is>
      </c>
      <c r="S463" t="n">
        <v>2</v>
      </c>
      <c r="T463" t="n">
        <v>2</v>
      </c>
      <c r="U463" t="inlineStr">
        <is>
          <t>1996-11-17</t>
        </is>
      </c>
      <c r="V463" t="inlineStr">
        <is>
          <t>1996-11-17</t>
        </is>
      </c>
      <c r="W463" t="inlineStr">
        <is>
          <t>1992-11-17</t>
        </is>
      </c>
      <c r="X463" t="inlineStr">
        <is>
          <t>1992-11-17</t>
        </is>
      </c>
      <c r="Y463" t="n">
        <v>199</v>
      </c>
      <c r="Z463" t="n">
        <v>126</v>
      </c>
      <c r="AA463" t="n">
        <v>127</v>
      </c>
      <c r="AB463" t="n">
        <v>1</v>
      </c>
      <c r="AC463" t="n">
        <v>1</v>
      </c>
      <c r="AD463" t="n">
        <v>6</v>
      </c>
      <c r="AE463" t="n">
        <v>6</v>
      </c>
      <c r="AF463" t="n">
        <v>0</v>
      </c>
      <c r="AG463" t="n">
        <v>0</v>
      </c>
      <c r="AH463" t="n">
        <v>3</v>
      </c>
      <c r="AI463" t="n">
        <v>3</v>
      </c>
      <c r="AJ463" t="n">
        <v>5</v>
      </c>
      <c r="AK463" t="n">
        <v>5</v>
      </c>
      <c r="AL463" t="n">
        <v>0</v>
      </c>
      <c r="AM463" t="n">
        <v>0</v>
      </c>
      <c r="AN463" t="n">
        <v>0</v>
      </c>
      <c r="AO463" t="n">
        <v>0</v>
      </c>
      <c r="AP463" t="inlineStr">
        <is>
          <t>No</t>
        </is>
      </c>
      <c r="AQ463" t="inlineStr">
        <is>
          <t>Yes</t>
        </is>
      </c>
      <c r="AR463">
        <f>HYPERLINK("http://catalog.hathitrust.org/Record/002521772","HathiTrust Record")</f>
        <v/>
      </c>
      <c r="AS463">
        <f>HYPERLINK("https://creighton-primo.hosted.exlibrisgroup.com/primo-explore/search?tab=default_tab&amp;search_scope=EVERYTHING&amp;vid=01CRU&amp;lang=en_US&amp;offset=0&amp;query=any,contains,991001884979702656","Catalog Record")</f>
        <v/>
      </c>
      <c r="AT463">
        <f>HYPERLINK("http://www.worldcat.org/oclc/23766487","WorldCat Record")</f>
        <v/>
      </c>
      <c r="AU463" t="inlineStr">
        <is>
          <t>25038685:eng</t>
        </is>
      </c>
      <c r="AV463" t="inlineStr">
        <is>
          <t>23766487</t>
        </is>
      </c>
      <c r="AW463" t="inlineStr">
        <is>
          <t>991001884979702656</t>
        </is>
      </c>
      <c r="AX463" t="inlineStr">
        <is>
          <t>991001884979702656</t>
        </is>
      </c>
      <c r="AY463" t="inlineStr">
        <is>
          <t>2269387610002656</t>
        </is>
      </c>
      <c r="AZ463" t="inlineStr">
        <is>
          <t>BOOK</t>
        </is>
      </c>
      <c r="BB463" t="inlineStr">
        <is>
          <t>9780444881762</t>
        </is>
      </c>
      <c r="BC463" t="inlineStr">
        <is>
          <t>32285001362952</t>
        </is>
      </c>
      <c r="BD463" t="inlineStr">
        <is>
          <t>893408430</t>
        </is>
      </c>
    </row>
    <row r="464">
      <c r="A464" t="inlineStr">
        <is>
          <t>No</t>
        </is>
      </c>
      <c r="B464" t="inlineStr">
        <is>
          <t>QD172.T7 S35 1990</t>
        </is>
      </c>
      <c r="C464" t="inlineStr">
        <is>
          <t>0                      QD 0172000T  7                  S  35          1990</t>
        </is>
      </c>
      <c r="D464" t="inlineStr">
        <is>
          <t>The elements beyond uranium / Glenn T. Seaborg, Walter D. Loveland.</t>
        </is>
      </c>
      <c r="F464" t="inlineStr">
        <is>
          <t>No</t>
        </is>
      </c>
      <c r="G464" t="inlineStr">
        <is>
          <t>1</t>
        </is>
      </c>
      <c r="H464" t="inlineStr">
        <is>
          <t>No</t>
        </is>
      </c>
      <c r="I464" t="inlineStr">
        <is>
          <t>No</t>
        </is>
      </c>
      <c r="J464" t="inlineStr">
        <is>
          <t>0</t>
        </is>
      </c>
      <c r="K464" t="inlineStr">
        <is>
          <t>Seaborg, Glenn T. (Glenn Theodore), 1912-1999.</t>
        </is>
      </c>
      <c r="L464" t="inlineStr">
        <is>
          <t>New York : Wiley, c1990.</t>
        </is>
      </c>
      <c r="M464" t="inlineStr">
        <is>
          <t>1990</t>
        </is>
      </c>
      <c r="O464" t="inlineStr">
        <is>
          <t>eng</t>
        </is>
      </c>
      <c r="P464" t="inlineStr">
        <is>
          <t>nyu</t>
        </is>
      </c>
      <c r="R464" t="inlineStr">
        <is>
          <t xml:space="preserve">QD </t>
        </is>
      </c>
      <c r="S464" t="n">
        <v>2</v>
      </c>
      <c r="T464" t="n">
        <v>2</v>
      </c>
      <c r="U464" t="inlineStr">
        <is>
          <t>1995-04-23</t>
        </is>
      </c>
      <c r="V464" t="inlineStr">
        <is>
          <t>1995-04-23</t>
        </is>
      </c>
      <c r="W464" t="inlineStr">
        <is>
          <t>1991-09-17</t>
        </is>
      </c>
      <c r="X464" t="inlineStr">
        <is>
          <t>1991-09-17</t>
        </is>
      </c>
      <c r="Y464" t="n">
        <v>427</v>
      </c>
      <c r="Z464" t="n">
        <v>344</v>
      </c>
      <c r="AA464" t="n">
        <v>346</v>
      </c>
      <c r="AB464" t="n">
        <v>4</v>
      </c>
      <c r="AC464" t="n">
        <v>4</v>
      </c>
      <c r="AD464" t="n">
        <v>19</v>
      </c>
      <c r="AE464" t="n">
        <v>19</v>
      </c>
      <c r="AF464" t="n">
        <v>8</v>
      </c>
      <c r="AG464" t="n">
        <v>8</v>
      </c>
      <c r="AH464" t="n">
        <v>5</v>
      </c>
      <c r="AI464" t="n">
        <v>5</v>
      </c>
      <c r="AJ464" t="n">
        <v>8</v>
      </c>
      <c r="AK464" t="n">
        <v>8</v>
      </c>
      <c r="AL464" t="n">
        <v>3</v>
      </c>
      <c r="AM464" t="n">
        <v>3</v>
      </c>
      <c r="AN464" t="n">
        <v>0</v>
      </c>
      <c r="AO464" t="n">
        <v>0</v>
      </c>
      <c r="AP464" t="inlineStr">
        <is>
          <t>No</t>
        </is>
      </c>
      <c r="AQ464" t="inlineStr">
        <is>
          <t>Yes</t>
        </is>
      </c>
      <c r="AR464">
        <f>HYPERLINK("http://catalog.hathitrust.org/Record/002458084","HathiTrust Record")</f>
        <v/>
      </c>
      <c r="AS464">
        <f>HYPERLINK("https://creighton-primo.hosted.exlibrisgroup.com/primo-explore/search?tab=default_tab&amp;search_scope=EVERYTHING&amp;vid=01CRU&amp;lang=en_US&amp;offset=0&amp;query=any,contains,991001719719702656","Catalog Record")</f>
        <v/>
      </c>
      <c r="AT464">
        <f>HYPERLINK("http://www.worldcat.org/oclc/21761932","WorldCat Record")</f>
        <v/>
      </c>
      <c r="AU464" t="inlineStr">
        <is>
          <t>23037885:eng</t>
        </is>
      </c>
      <c r="AV464" t="inlineStr">
        <is>
          <t>21761932</t>
        </is>
      </c>
      <c r="AW464" t="inlineStr">
        <is>
          <t>991001719719702656</t>
        </is>
      </c>
      <c r="AX464" t="inlineStr">
        <is>
          <t>991001719719702656</t>
        </is>
      </c>
      <c r="AY464" t="inlineStr">
        <is>
          <t>2256759030002656</t>
        </is>
      </c>
      <c r="AZ464" t="inlineStr">
        <is>
          <t>BOOK</t>
        </is>
      </c>
      <c r="BB464" t="inlineStr">
        <is>
          <t>9780471890621</t>
        </is>
      </c>
      <c r="BC464" t="inlineStr">
        <is>
          <t>32285000703685</t>
        </is>
      </c>
      <c r="BD464" t="inlineStr">
        <is>
          <t>893529163</t>
        </is>
      </c>
    </row>
    <row r="465">
      <c r="A465" t="inlineStr">
        <is>
          <t>No</t>
        </is>
      </c>
      <c r="B465" t="inlineStr">
        <is>
          <t>QD18 .G7 N48 2002</t>
        </is>
      </c>
      <c r="C465" t="inlineStr">
        <is>
          <t>0                      QD 0018000G  7                  N  48          2002</t>
        </is>
      </c>
      <c r="D465" t="inlineStr">
        <is>
          <t>Alchemy tried in the fire : Starkey, Boyle, and the fate of Helmontian chymistry / William R. Newman and Lawrence M. Principe.</t>
        </is>
      </c>
      <c r="F465" t="inlineStr">
        <is>
          <t>No</t>
        </is>
      </c>
      <c r="G465" t="inlineStr">
        <is>
          <t>1</t>
        </is>
      </c>
      <c r="H465" t="inlineStr">
        <is>
          <t>No</t>
        </is>
      </c>
      <c r="I465" t="inlineStr">
        <is>
          <t>No</t>
        </is>
      </c>
      <c r="J465" t="inlineStr">
        <is>
          <t>0</t>
        </is>
      </c>
      <c r="K465" t="inlineStr">
        <is>
          <t>Newman, William R., 1955-</t>
        </is>
      </c>
      <c r="L465" t="inlineStr">
        <is>
          <t>Chicago : University of Chicago Press, c2002.</t>
        </is>
      </c>
      <c r="M465" t="inlineStr">
        <is>
          <t>2002</t>
        </is>
      </c>
      <c r="O465" t="inlineStr">
        <is>
          <t>eng</t>
        </is>
      </c>
      <c r="P465" t="inlineStr">
        <is>
          <t>ilu</t>
        </is>
      </c>
      <c r="R465" t="inlineStr">
        <is>
          <t xml:space="preserve">QD </t>
        </is>
      </c>
      <c r="S465" t="n">
        <v>1</v>
      </c>
      <c r="T465" t="n">
        <v>1</v>
      </c>
      <c r="U465" t="inlineStr">
        <is>
          <t>2006-05-16</t>
        </is>
      </c>
      <c r="V465" t="inlineStr">
        <is>
          <t>2006-05-16</t>
        </is>
      </c>
      <c r="W465" t="inlineStr">
        <is>
          <t>2006-05-16</t>
        </is>
      </c>
      <c r="X465" t="inlineStr">
        <is>
          <t>2006-05-16</t>
        </is>
      </c>
      <c r="Y465" t="n">
        <v>439</v>
      </c>
      <c r="Z465" t="n">
        <v>370</v>
      </c>
      <c r="AA465" t="n">
        <v>1056</v>
      </c>
      <c r="AB465" t="n">
        <v>3</v>
      </c>
      <c r="AC465" t="n">
        <v>9</v>
      </c>
      <c r="AD465" t="n">
        <v>18</v>
      </c>
      <c r="AE465" t="n">
        <v>36</v>
      </c>
      <c r="AF465" t="n">
        <v>8</v>
      </c>
      <c r="AG465" t="n">
        <v>12</v>
      </c>
      <c r="AH465" t="n">
        <v>6</v>
      </c>
      <c r="AI465" t="n">
        <v>9</v>
      </c>
      <c r="AJ465" t="n">
        <v>8</v>
      </c>
      <c r="AK465" t="n">
        <v>13</v>
      </c>
      <c r="AL465" t="n">
        <v>2</v>
      </c>
      <c r="AM465" t="n">
        <v>8</v>
      </c>
      <c r="AN465" t="n">
        <v>0</v>
      </c>
      <c r="AO465" t="n">
        <v>1</v>
      </c>
      <c r="AP465" t="inlineStr">
        <is>
          <t>No</t>
        </is>
      </c>
      <c r="AQ465" t="inlineStr">
        <is>
          <t>No</t>
        </is>
      </c>
      <c r="AS465">
        <f>HYPERLINK("https://creighton-primo.hosted.exlibrisgroup.com/primo-explore/search?tab=default_tab&amp;search_scope=EVERYTHING&amp;vid=01CRU&amp;lang=en_US&amp;offset=0&amp;query=any,contains,991004798289702656","Catalog Record")</f>
        <v/>
      </c>
      <c r="AT465">
        <f>HYPERLINK("http://www.worldcat.org/oclc/50424577","WorldCat Record")</f>
        <v/>
      </c>
      <c r="AU465" t="inlineStr">
        <is>
          <t>793962553:eng</t>
        </is>
      </c>
      <c r="AV465" t="inlineStr">
        <is>
          <t>50424577</t>
        </is>
      </c>
      <c r="AW465" t="inlineStr">
        <is>
          <t>991004798289702656</t>
        </is>
      </c>
      <c r="AX465" t="inlineStr">
        <is>
          <t>991004798289702656</t>
        </is>
      </c>
      <c r="AY465" t="inlineStr">
        <is>
          <t>2272436010002656</t>
        </is>
      </c>
      <c r="AZ465" t="inlineStr">
        <is>
          <t>BOOK</t>
        </is>
      </c>
      <c r="BB465" t="inlineStr">
        <is>
          <t>9780226577111</t>
        </is>
      </c>
      <c r="BC465" t="inlineStr">
        <is>
          <t>32285005187819</t>
        </is>
      </c>
      <c r="BD465" t="inlineStr">
        <is>
          <t>893612784</t>
        </is>
      </c>
    </row>
    <row r="466">
      <c r="A466" t="inlineStr">
        <is>
          <t>No</t>
        </is>
      </c>
      <c r="B466" t="inlineStr">
        <is>
          <t>QD181.C1 A43 1995</t>
        </is>
      </c>
      <c r="C466" t="inlineStr">
        <is>
          <t>0                      QD 0181000C  1                  A  43          1995</t>
        </is>
      </c>
      <c r="D466" t="inlineStr">
        <is>
          <t>The most beautiful molecule : the discovery of the buckyball / Hugh Aldersey-Williams.</t>
        </is>
      </c>
      <c r="F466" t="inlineStr">
        <is>
          <t>No</t>
        </is>
      </c>
      <c r="G466" t="inlineStr">
        <is>
          <t>1</t>
        </is>
      </c>
      <c r="H466" t="inlineStr">
        <is>
          <t>No</t>
        </is>
      </c>
      <c r="I466" t="inlineStr">
        <is>
          <t>No</t>
        </is>
      </c>
      <c r="J466" t="inlineStr">
        <is>
          <t>0</t>
        </is>
      </c>
      <c r="K466" t="inlineStr">
        <is>
          <t>Aldersey-Williams, Hugh.</t>
        </is>
      </c>
      <c r="L466" t="inlineStr">
        <is>
          <t>New York : John Wiley, c1995.</t>
        </is>
      </c>
      <c r="M466" t="inlineStr">
        <is>
          <t>1995</t>
        </is>
      </c>
      <c r="O466" t="inlineStr">
        <is>
          <t>eng</t>
        </is>
      </c>
      <c r="P466" t="inlineStr">
        <is>
          <t>nyu</t>
        </is>
      </c>
      <c r="R466" t="inlineStr">
        <is>
          <t xml:space="preserve">QD </t>
        </is>
      </c>
      <c r="S466" t="n">
        <v>2</v>
      </c>
      <c r="T466" t="n">
        <v>2</v>
      </c>
      <c r="U466" t="inlineStr">
        <is>
          <t>2002-02-28</t>
        </is>
      </c>
      <c r="V466" t="inlineStr">
        <is>
          <t>2002-02-28</t>
        </is>
      </c>
      <c r="W466" t="inlineStr">
        <is>
          <t>1996-07-10</t>
        </is>
      </c>
      <c r="X466" t="inlineStr">
        <is>
          <t>1996-07-10</t>
        </is>
      </c>
      <c r="Y466" t="n">
        <v>1255</v>
      </c>
      <c r="Z466" t="n">
        <v>1155</v>
      </c>
      <c r="AA466" t="n">
        <v>1160</v>
      </c>
      <c r="AB466" t="n">
        <v>11</v>
      </c>
      <c r="AC466" t="n">
        <v>11</v>
      </c>
      <c r="AD466" t="n">
        <v>40</v>
      </c>
      <c r="AE466" t="n">
        <v>40</v>
      </c>
      <c r="AF466" t="n">
        <v>16</v>
      </c>
      <c r="AG466" t="n">
        <v>16</v>
      </c>
      <c r="AH466" t="n">
        <v>6</v>
      </c>
      <c r="AI466" t="n">
        <v>6</v>
      </c>
      <c r="AJ466" t="n">
        <v>16</v>
      </c>
      <c r="AK466" t="n">
        <v>16</v>
      </c>
      <c r="AL466" t="n">
        <v>9</v>
      </c>
      <c r="AM466" t="n">
        <v>9</v>
      </c>
      <c r="AN466" t="n">
        <v>0</v>
      </c>
      <c r="AO466" t="n">
        <v>0</v>
      </c>
      <c r="AP466" t="inlineStr">
        <is>
          <t>No</t>
        </is>
      </c>
      <c r="AQ466" t="inlineStr">
        <is>
          <t>Yes</t>
        </is>
      </c>
      <c r="AR466">
        <f>HYPERLINK("http://catalog.hathitrust.org/Record/003013411","HathiTrust Record")</f>
        <v/>
      </c>
      <c r="AS466">
        <f>HYPERLINK("https://creighton-primo.hosted.exlibrisgroup.com/primo-explore/search?tab=default_tab&amp;search_scope=EVERYTHING&amp;vid=01CRU&amp;lang=en_US&amp;offset=0&amp;query=any,contains,991002486309702656","Catalog Record")</f>
        <v/>
      </c>
      <c r="AT466">
        <f>HYPERLINK("http://www.worldcat.org/oclc/32349204","WorldCat Record")</f>
        <v/>
      </c>
      <c r="AU466" t="inlineStr">
        <is>
          <t>8908543922:eng</t>
        </is>
      </c>
      <c r="AV466" t="inlineStr">
        <is>
          <t>32349204</t>
        </is>
      </c>
      <c r="AW466" t="inlineStr">
        <is>
          <t>991002486309702656</t>
        </is>
      </c>
      <c r="AX466" t="inlineStr">
        <is>
          <t>991002486309702656</t>
        </is>
      </c>
      <c r="AY466" t="inlineStr">
        <is>
          <t>2264042210002656</t>
        </is>
      </c>
      <c r="AZ466" t="inlineStr">
        <is>
          <t>BOOK</t>
        </is>
      </c>
      <c r="BB466" t="inlineStr">
        <is>
          <t>9780471109389</t>
        </is>
      </c>
      <c r="BC466" t="inlineStr">
        <is>
          <t>32285002210911</t>
        </is>
      </c>
      <c r="BD466" t="inlineStr">
        <is>
          <t>893792521</t>
        </is>
      </c>
    </row>
    <row r="467">
      <c r="A467" t="inlineStr">
        <is>
          <t>No</t>
        </is>
      </c>
      <c r="B467" t="inlineStr">
        <is>
          <t>QD181.C1 B87 1991</t>
        </is>
      </c>
      <c r="C467" t="inlineStr">
        <is>
          <t>0                      QD 0181000C  1                  B  87          1991</t>
        </is>
      </c>
      <c r="D467" t="inlineStr">
        <is>
          <t>Carbon dioxide equilibria and their applications / James N. Butler.</t>
        </is>
      </c>
      <c r="F467" t="inlineStr">
        <is>
          <t>No</t>
        </is>
      </c>
      <c r="G467" t="inlineStr">
        <is>
          <t>1</t>
        </is>
      </c>
      <c r="H467" t="inlineStr">
        <is>
          <t>No</t>
        </is>
      </c>
      <c r="I467" t="inlineStr">
        <is>
          <t>No</t>
        </is>
      </c>
      <c r="J467" t="inlineStr">
        <is>
          <t>0</t>
        </is>
      </c>
      <c r="K467" t="inlineStr">
        <is>
          <t>Butler, James N. (James Newton), 1934-</t>
        </is>
      </c>
      <c r="L467" t="inlineStr">
        <is>
          <t>Chelsea, Mich. : Lewis Publishers, c1991.</t>
        </is>
      </c>
      <c r="M467" t="inlineStr">
        <is>
          <t>1991</t>
        </is>
      </c>
      <c r="O467" t="inlineStr">
        <is>
          <t>eng</t>
        </is>
      </c>
      <c r="P467" t="inlineStr">
        <is>
          <t>miu</t>
        </is>
      </c>
      <c r="R467" t="inlineStr">
        <is>
          <t xml:space="preserve">QD </t>
        </is>
      </c>
      <c r="S467" t="n">
        <v>6</v>
      </c>
      <c r="T467" t="n">
        <v>6</v>
      </c>
      <c r="U467" t="inlineStr">
        <is>
          <t>1997-01-23</t>
        </is>
      </c>
      <c r="V467" t="inlineStr">
        <is>
          <t>1997-01-23</t>
        </is>
      </c>
      <c r="W467" t="inlineStr">
        <is>
          <t>1992-06-03</t>
        </is>
      </c>
      <c r="X467" t="inlineStr">
        <is>
          <t>1992-06-03</t>
        </is>
      </c>
      <c r="Y467" t="n">
        <v>128</v>
      </c>
      <c r="Z467" t="n">
        <v>88</v>
      </c>
      <c r="AA467" t="n">
        <v>222</v>
      </c>
      <c r="AB467" t="n">
        <v>3</v>
      </c>
      <c r="AC467" t="n">
        <v>4</v>
      </c>
      <c r="AD467" t="n">
        <v>6</v>
      </c>
      <c r="AE467" t="n">
        <v>8</v>
      </c>
      <c r="AF467" t="n">
        <v>2</v>
      </c>
      <c r="AG467" t="n">
        <v>2</v>
      </c>
      <c r="AH467" t="n">
        <v>2</v>
      </c>
      <c r="AI467" t="n">
        <v>2</v>
      </c>
      <c r="AJ467" t="n">
        <v>1</v>
      </c>
      <c r="AK467" t="n">
        <v>2</v>
      </c>
      <c r="AL467" t="n">
        <v>2</v>
      </c>
      <c r="AM467" t="n">
        <v>3</v>
      </c>
      <c r="AN467" t="n">
        <v>0</v>
      </c>
      <c r="AO467" t="n">
        <v>0</v>
      </c>
      <c r="AP467" t="inlineStr">
        <is>
          <t>No</t>
        </is>
      </c>
      <c r="AQ467" t="inlineStr">
        <is>
          <t>No</t>
        </is>
      </c>
      <c r="AS467">
        <f>HYPERLINK("https://creighton-primo.hosted.exlibrisgroup.com/primo-explore/search?tab=default_tab&amp;search_scope=EVERYTHING&amp;vid=01CRU&amp;lang=en_US&amp;offset=0&amp;query=any,contains,991001904269702656","Catalog Record")</f>
        <v/>
      </c>
      <c r="AT467">
        <f>HYPERLINK("http://www.worldcat.org/oclc/24066225","WorldCat Record")</f>
        <v/>
      </c>
      <c r="AU467" t="inlineStr">
        <is>
          <t>317775714:eng</t>
        </is>
      </c>
      <c r="AV467" t="inlineStr">
        <is>
          <t>24066225</t>
        </is>
      </c>
      <c r="AW467" t="inlineStr">
        <is>
          <t>991001904269702656</t>
        </is>
      </c>
      <c r="AX467" t="inlineStr">
        <is>
          <t>991001904269702656</t>
        </is>
      </c>
      <c r="AY467" t="inlineStr">
        <is>
          <t>2262080890002656</t>
        </is>
      </c>
      <c r="AZ467" t="inlineStr">
        <is>
          <t>BOOK</t>
        </is>
      </c>
      <c r="BB467" t="inlineStr">
        <is>
          <t>9780873716246</t>
        </is>
      </c>
      <c r="BC467" t="inlineStr">
        <is>
          <t>32285001126142</t>
        </is>
      </c>
      <c r="BD467" t="inlineStr">
        <is>
          <t>893322336</t>
        </is>
      </c>
    </row>
    <row r="468">
      <c r="A468" t="inlineStr">
        <is>
          <t>No</t>
        </is>
      </c>
      <c r="B468" t="inlineStr">
        <is>
          <t>QD181.C1 F85 1992</t>
        </is>
      </c>
      <c r="C468" t="inlineStr">
        <is>
          <t>0                      QD 0181000C  1                  F  85          1992</t>
        </is>
      </c>
      <c r="D468" t="inlineStr">
        <is>
          <t>Fullerenes : synthesis, properties, and chemistry of large carbon clusters / George S. Hammond, editor, Valerie J. Kuck, editor.</t>
        </is>
      </c>
      <c r="F468" t="inlineStr">
        <is>
          <t>No</t>
        </is>
      </c>
      <c r="G468" t="inlineStr">
        <is>
          <t>1</t>
        </is>
      </c>
      <c r="H468" t="inlineStr">
        <is>
          <t>No</t>
        </is>
      </c>
      <c r="I468" t="inlineStr">
        <is>
          <t>No</t>
        </is>
      </c>
      <c r="J468" t="inlineStr">
        <is>
          <t>0</t>
        </is>
      </c>
      <c r="L468" t="inlineStr">
        <is>
          <t>Washington, DC : American Chemical Society, 1992.</t>
        </is>
      </c>
      <c r="M468" t="inlineStr">
        <is>
          <t>1992</t>
        </is>
      </c>
      <c r="O468" t="inlineStr">
        <is>
          <t>eng</t>
        </is>
      </c>
      <c r="P468" t="inlineStr">
        <is>
          <t>dcu</t>
        </is>
      </c>
      <c r="Q468" t="inlineStr">
        <is>
          <t>ACS symposium series, 0097-6156 ; 481</t>
        </is>
      </c>
      <c r="R468" t="inlineStr">
        <is>
          <t xml:space="preserve">QD </t>
        </is>
      </c>
      <c r="S468" t="n">
        <v>2</v>
      </c>
      <c r="T468" t="n">
        <v>2</v>
      </c>
      <c r="U468" t="inlineStr">
        <is>
          <t>2002-02-28</t>
        </is>
      </c>
      <c r="V468" t="inlineStr">
        <is>
          <t>2002-02-28</t>
        </is>
      </c>
      <c r="W468" t="inlineStr">
        <is>
          <t>1992-10-27</t>
        </is>
      </c>
      <c r="X468" t="inlineStr">
        <is>
          <t>1992-10-27</t>
        </is>
      </c>
      <c r="Y468" t="n">
        <v>581</v>
      </c>
      <c r="Z468" t="n">
        <v>483</v>
      </c>
      <c r="AA468" t="n">
        <v>506</v>
      </c>
      <c r="AB468" t="n">
        <v>7</v>
      </c>
      <c r="AC468" t="n">
        <v>7</v>
      </c>
      <c r="AD468" t="n">
        <v>28</v>
      </c>
      <c r="AE468" t="n">
        <v>28</v>
      </c>
      <c r="AF468" t="n">
        <v>10</v>
      </c>
      <c r="AG468" t="n">
        <v>10</v>
      </c>
      <c r="AH468" t="n">
        <v>4</v>
      </c>
      <c r="AI468" t="n">
        <v>4</v>
      </c>
      <c r="AJ468" t="n">
        <v>12</v>
      </c>
      <c r="AK468" t="n">
        <v>12</v>
      </c>
      <c r="AL468" t="n">
        <v>6</v>
      </c>
      <c r="AM468" t="n">
        <v>6</v>
      </c>
      <c r="AN468" t="n">
        <v>0</v>
      </c>
      <c r="AO468" t="n">
        <v>0</v>
      </c>
      <c r="AP468" t="inlineStr">
        <is>
          <t>No</t>
        </is>
      </c>
      <c r="AQ468" t="inlineStr">
        <is>
          <t>Yes</t>
        </is>
      </c>
      <c r="AR468">
        <f>HYPERLINK("http://catalog.hathitrust.org/Record/002534312","HathiTrust Record")</f>
        <v/>
      </c>
      <c r="AS468">
        <f>HYPERLINK("https://creighton-primo.hosted.exlibrisgroup.com/primo-explore/search?tab=default_tab&amp;search_scope=EVERYTHING&amp;vid=01CRU&amp;lang=en_US&amp;offset=0&amp;query=any,contains,991001959759702656","Catalog Record")</f>
        <v/>
      </c>
      <c r="AT468">
        <f>HYPERLINK("http://www.worldcat.org/oclc/24845157","WorldCat Record")</f>
        <v/>
      </c>
      <c r="AU468" t="inlineStr">
        <is>
          <t>5610660841:eng</t>
        </is>
      </c>
      <c r="AV468" t="inlineStr">
        <is>
          <t>24845157</t>
        </is>
      </c>
      <c r="AW468" t="inlineStr">
        <is>
          <t>991001959759702656</t>
        </is>
      </c>
      <c r="AX468" t="inlineStr">
        <is>
          <t>991001959759702656</t>
        </is>
      </c>
      <c r="AY468" t="inlineStr">
        <is>
          <t>2257177340002656</t>
        </is>
      </c>
      <c r="AZ468" t="inlineStr">
        <is>
          <t>BOOK</t>
        </is>
      </c>
      <c r="BB468" t="inlineStr">
        <is>
          <t>9780841221826</t>
        </is>
      </c>
      <c r="BC468" t="inlineStr">
        <is>
          <t>32285001319887</t>
        </is>
      </c>
      <c r="BD468" t="inlineStr">
        <is>
          <t>893334756</t>
        </is>
      </c>
    </row>
    <row r="469">
      <c r="A469" t="inlineStr">
        <is>
          <t>No</t>
        </is>
      </c>
      <c r="B469" t="inlineStr">
        <is>
          <t>QD181.C1 L6 v...</t>
        </is>
      </c>
      <c r="C469" t="inlineStr">
        <is>
          <t>0                      QD 0181000C  1                  L  6                                 v...</t>
        </is>
      </c>
      <c r="D469" t="inlineStr">
        <is>
          <t>Carbonate chemistry of aquatic systems : theory and application / by R. E. Loewenthal, G. v. R. Marais.</t>
        </is>
      </c>
      <c r="E469" t="inlineStr">
        <is>
          <t>V.1</t>
        </is>
      </c>
      <c r="F469" t="inlineStr">
        <is>
          <t>No</t>
        </is>
      </c>
      <c r="G469" t="inlineStr">
        <is>
          <t>1</t>
        </is>
      </c>
      <c r="H469" t="inlineStr">
        <is>
          <t>No</t>
        </is>
      </c>
      <c r="I469" t="inlineStr">
        <is>
          <t>No</t>
        </is>
      </c>
      <c r="J469" t="inlineStr">
        <is>
          <t>0</t>
        </is>
      </c>
      <c r="K469" t="inlineStr">
        <is>
          <t>Loewenthal, R. E. (Richard E.)</t>
        </is>
      </c>
      <c r="L469" t="inlineStr">
        <is>
          <t>Ann Arbor, Mich. : Ann Arbor Science, c1976-</t>
        </is>
      </c>
      <c r="M469" t="inlineStr">
        <is>
          <t>1976</t>
        </is>
      </c>
      <c r="O469" t="inlineStr">
        <is>
          <t>eng</t>
        </is>
      </c>
      <c r="P469" t="inlineStr">
        <is>
          <t>miu</t>
        </is>
      </c>
      <c r="R469" t="inlineStr">
        <is>
          <t xml:space="preserve">QD </t>
        </is>
      </c>
      <c r="S469" t="n">
        <v>1</v>
      </c>
      <c r="T469" t="n">
        <v>1</v>
      </c>
      <c r="U469" t="inlineStr">
        <is>
          <t>1995-04-21</t>
        </is>
      </c>
      <c r="V469" t="inlineStr">
        <is>
          <t>1995-04-21</t>
        </is>
      </c>
      <c r="W469" t="inlineStr">
        <is>
          <t>1992-10-10</t>
        </is>
      </c>
      <c r="X469" t="inlineStr">
        <is>
          <t>1992-10-10</t>
        </is>
      </c>
      <c r="Y469" t="n">
        <v>275</v>
      </c>
      <c r="Z469" t="n">
        <v>215</v>
      </c>
      <c r="AA469" t="n">
        <v>217</v>
      </c>
      <c r="AB469" t="n">
        <v>3</v>
      </c>
      <c r="AC469" t="n">
        <v>3</v>
      </c>
      <c r="AD469" t="n">
        <v>5</v>
      </c>
      <c r="AE469" t="n">
        <v>5</v>
      </c>
      <c r="AF469" t="n">
        <v>0</v>
      </c>
      <c r="AG469" t="n">
        <v>0</v>
      </c>
      <c r="AH469" t="n">
        <v>1</v>
      </c>
      <c r="AI469" t="n">
        <v>1</v>
      </c>
      <c r="AJ469" t="n">
        <v>2</v>
      </c>
      <c r="AK469" t="n">
        <v>2</v>
      </c>
      <c r="AL469" t="n">
        <v>2</v>
      </c>
      <c r="AM469" t="n">
        <v>2</v>
      </c>
      <c r="AN469" t="n">
        <v>0</v>
      </c>
      <c r="AO469" t="n">
        <v>0</v>
      </c>
      <c r="AP469" t="inlineStr">
        <is>
          <t>No</t>
        </is>
      </c>
      <c r="AQ469" t="inlineStr">
        <is>
          <t>Yes</t>
        </is>
      </c>
      <c r="AR469">
        <f>HYPERLINK("http://catalog.hathitrust.org/Record/000170556","HathiTrust Record")</f>
        <v/>
      </c>
      <c r="AS469">
        <f>HYPERLINK("https://creighton-primo.hosted.exlibrisgroup.com/primo-explore/search?tab=default_tab&amp;search_scope=EVERYTHING&amp;vid=01CRU&amp;lang=en_US&amp;offset=0&amp;query=any,contains,991004211579702656","Catalog Record")</f>
        <v/>
      </c>
      <c r="AT469">
        <f>HYPERLINK("http://www.worldcat.org/oclc/2683186","WorldCat Record")</f>
        <v/>
      </c>
      <c r="AU469" t="inlineStr">
        <is>
          <t>5612012678:eng</t>
        </is>
      </c>
      <c r="AV469" t="inlineStr">
        <is>
          <t>2683186</t>
        </is>
      </c>
      <c r="AW469" t="inlineStr">
        <is>
          <t>991004211579702656</t>
        </is>
      </c>
      <c r="AX469" t="inlineStr">
        <is>
          <t>991004211579702656</t>
        </is>
      </c>
      <c r="AY469" t="inlineStr">
        <is>
          <t>2266578950002656</t>
        </is>
      </c>
      <c r="AZ469" t="inlineStr">
        <is>
          <t>BOOK</t>
        </is>
      </c>
      <c r="BB469" t="inlineStr">
        <is>
          <t>9780250401413</t>
        </is>
      </c>
      <c r="BC469" t="inlineStr">
        <is>
          <t>32285001346260</t>
        </is>
      </c>
      <c r="BD469" t="inlineStr">
        <is>
          <t>893506557</t>
        </is>
      </c>
    </row>
    <row r="470">
      <c r="A470" t="inlineStr">
        <is>
          <t>No</t>
        </is>
      </c>
      <c r="B470" t="inlineStr">
        <is>
          <t>QD181.C15 M5</t>
        </is>
      </c>
      <c r="C470" t="inlineStr">
        <is>
          <t>0                      QD 0181000C  15                 M  5</t>
        </is>
      </c>
      <c r="D470" t="inlineStr">
        <is>
          <t>The chemistry of organic cyanogen compounds.</t>
        </is>
      </c>
      <c r="F470" t="inlineStr">
        <is>
          <t>No</t>
        </is>
      </c>
      <c r="G470" t="inlineStr">
        <is>
          <t>1</t>
        </is>
      </c>
      <c r="H470" t="inlineStr">
        <is>
          <t>No</t>
        </is>
      </c>
      <c r="I470" t="inlineStr">
        <is>
          <t>No</t>
        </is>
      </c>
      <c r="J470" t="inlineStr">
        <is>
          <t>0</t>
        </is>
      </c>
      <c r="K470" t="inlineStr">
        <is>
          <t>Migrdichian, Vartkes.</t>
        </is>
      </c>
      <c r="L470" t="inlineStr">
        <is>
          <t>New York, Reinhold Pub. Corp., 1947.</t>
        </is>
      </c>
      <c r="M470" t="inlineStr">
        <is>
          <t>1947</t>
        </is>
      </c>
      <c r="O470" t="inlineStr">
        <is>
          <t>eng</t>
        </is>
      </c>
      <c r="P470" t="inlineStr">
        <is>
          <t>nyu</t>
        </is>
      </c>
      <c r="Q470" t="inlineStr">
        <is>
          <t>American Chemical Society. Monograph series, no. 105</t>
        </is>
      </c>
      <c r="R470" t="inlineStr">
        <is>
          <t xml:space="preserve">QD </t>
        </is>
      </c>
      <c r="S470" t="n">
        <v>1</v>
      </c>
      <c r="T470" t="n">
        <v>1</v>
      </c>
      <c r="U470" t="inlineStr">
        <is>
          <t>1999-11-02</t>
        </is>
      </c>
      <c r="V470" t="inlineStr">
        <is>
          <t>1999-11-02</t>
        </is>
      </c>
      <c r="W470" t="inlineStr">
        <is>
          <t>1997-06-10</t>
        </is>
      </c>
      <c r="X470" t="inlineStr">
        <is>
          <t>1997-06-10</t>
        </is>
      </c>
      <c r="Y470" t="n">
        <v>344</v>
      </c>
      <c r="Z470" t="n">
        <v>272</v>
      </c>
      <c r="AA470" t="n">
        <v>276</v>
      </c>
      <c r="AB470" t="n">
        <v>1</v>
      </c>
      <c r="AC470" t="n">
        <v>1</v>
      </c>
      <c r="AD470" t="n">
        <v>12</v>
      </c>
      <c r="AE470" t="n">
        <v>12</v>
      </c>
      <c r="AF470" t="n">
        <v>2</v>
      </c>
      <c r="AG470" t="n">
        <v>2</v>
      </c>
      <c r="AH470" t="n">
        <v>4</v>
      </c>
      <c r="AI470" t="n">
        <v>4</v>
      </c>
      <c r="AJ470" t="n">
        <v>10</v>
      </c>
      <c r="AK470" t="n">
        <v>10</v>
      </c>
      <c r="AL470" t="n">
        <v>0</v>
      </c>
      <c r="AM470" t="n">
        <v>0</v>
      </c>
      <c r="AN470" t="n">
        <v>0</v>
      </c>
      <c r="AO470" t="n">
        <v>0</v>
      </c>
      <c r="AP470" t="inlineStr">
        <is>
          <t>No</t>
        </is>
      </c>
      <c r="AQ470" t="inlineStr">
        <is>
          <t>Yes</t>
        </is>
      </c>
      <c r="AR470">
        <f>HYPERLINK("http://catalog.hathitrust.org/Record/001033806","HathiTrust Record")</f>
        <v/>
      </c>
      <c r="AS470">
        <f>HYPERLINK("https://creighton-primo.hosted.exlibrisgroup.com/primo-explore/search?tab=default_tab&amp;search_scope=EVERYTHING&amp;vid=01CRU&amp;lang=en_US&amp;offset=0&amp;query=any,contains,991003713549702656","Catalog Record")</f>
        <v/>
      </c>
      <c r="AT470">
        <f>HYPERLINK("http://www.worldcat.org/oclc/1356288","WorldCat Record")</f>
        <v/>
      </c>
      <c r="AU470" t="inlineStr">
        <is>
          <t>10567130831:eng</t>
        </is>
      </c>
      <c r="AV470" t="inlineStr">
        <is>
          <t>1356288</t>
        </is>
      </c>
      <c r="AW470" t="inlineStr">
        <is>
          <t>991003713549702656</t>
        </is>
      </c>
      <c r="AX470" t="inlineStr">
        <is>
          <t>991003713549702656</t>
        </is>
      </c>
      <c r="AY470" t="inlineStr">
        <is>
          <t>2272293730002656</t>
        </is>
      </c>
      <c r="AZ470" t="inlineStr">
        <is>
          <t>BOOK</t>
        </is>
      </c>
      <c r="BC470" t="inlineStr">
        <is>
          <t>32285002792702</t>
        </is>
      </c>
      <c r="BD470" t="inlineStr">
        <is>
          <t>893686854</t>
        </is>
      </c>
    </row>
    <row r="471">
      <c r="A471" t="inlineStr">
        <is>
          <t>No</t>
        </is>
      </c>
      <c r="B471" t="inlineStr">
        <is>
          <t>QD181.C5 S3</t>
        </is>
      </c>
      <c r="C471" t="inlineStr">
        <is>
          <t>0                      QD 0181000C  5                  S  3</t>
        </is>
      </c>
      <c r="D471" t="inlineStr">
        <is>
          <t>Perchlorates: their properties, manufacture, and uses.</t>
        </is>
      </c>
      <c r="F471" t="inlineStr">
        <is>
          <t>No</t>
        </is>
      </c>
      <c r="G471" t="inlineStr">
        <is>
          <t>1</t>
        </is>
      </c>
      <c r="H471" t="inlineStr">
        <is>
          <t>No</t>
        </is>
      </c>
      <c r="I471" t="inlineStr">
        <is>
          <t>No</t>
        </is>
      </c>
      <c r="J471" t="inlineStr">
        <is>
          <t>0</t>
        </is>
      </c>
      <c r="K471" t="inlineStr">
        <is>
          <t>Schumacher, Joseph C., editor.</t>
        </is>
      </c>
      <c r="L471" t="inlineStr">
        <is>
          <t>New York, Reinhold Pub. Corp. [1960]</t>
        </is>
      </c>
      <c r="M471" t="inlineStr">
        <is>
          <t>1960</t>
        </is>
      </c>
      <c r="O471" t="inlineStr">
        <is>
          <t>eng</t>
        </is>
      </c>
      <c r="P471" t="inlineStr">
        <is>
          <t>nyu</t>
        </is>
      </c>
      <c r="Q471" t="inlineStr">
        <is>
          <t>American Chemical Society. Monograph series, no. 146</t>
        </is>
      </c>
      <c r="R471" t="inlineStr">
        <is>
          <t xml:space="preserve">QD </t>
        </is>
      </c>
      <c r="S471" t="n">
        <v>0</v>
      </c>
      <c r="T471" t="n">
        <v>0</v>
      </c>
      <c r="U471" t="inlineStr">
        <is>
          <t>2001-08-27</t>
        </is>
      </c>
      <c r="V471" t="inlineStr">
        <is>
          <t>2001-08-27</t>
        </is>
      </c>
      <c r="W471" t="inlineStr">
        <is>
          <t>1997-06-10</t>
        </is>
      </c>
      <c r="X471" t="inlineStr">
        <is>
          <t>1997-06-10</t>
        </is>
      </c>
      <c r="Y471" t="n">
        <v>309</v>
      </c>
      <c r="Z471" t="n">
        <v>243</v>
      </c>
      <c r="AA471" t="n">
        <v>245</v>
      </c>
      <c r="AB471" t="n">
        <v>3</v>
      </c>
      <c r="AC471" t="n">
        <v>3</v>
      </c>
      <c r="AD471" t="n">
        <v>10</v>
      </c>
      <c r="AE471" t="n">
        <v>10</v>
      </c>
      <c r="AF471" t="n">
        <v>0</v>
      </c>
      <c r="AG471" t="n">
        <v>0</v>
      </c>
      <c r="AH471" t="n">
        <v>2</v>
      </c>
      <c r="AI471" t="n">
        <v>2</v>
      </c>
      <c r="AJ471" t="n">
        <v>7</v>
      </c>
      <c r="AK471" t="n">
        <v>7</v>
      </c>
      <c r="AL471" t="n">
        <v>2</v>
      </c>
      <c r="AM471" t="n">
        <v>2</v>
      </c>
      <c r="AN471" t="n">
        <v>0</v>
      </c>
      <c r="AO471" t="n">
        <v>0</v>
      </c>
      <c r="AP471" t="inlineStr">
        <is>
          <t>No</t>
        </is>
      </c>
      <c r="AQ471" t="inlineStr">
        <is>
          <t>No</t>
        </is>
      </c>
      <c r="AR471">
        <f>HYPERLINK("http://catalog.hathitrust.org/Record/001420512","HathiTrust Record")</f>
        <v/>
      </c>
      <c r="AS471">
        <f>HYPERLINK("https://creighton-primo.hosted.exlibrisgroup.com/primo-explore/search?tab=default_tab&amp;search_scope=EVERYTHING&amp;vid=01CRU&amp;lang=en_US&amp;offset=0&amp;query=any,contains,991000376259702656","Catalog Record")</f>
        <v/>
      </c>
      <c r="AT471">
        <f>HYPERLINK("http://www.worldcat.org/oclc/10461051","WorldCat Record")</f>
        <v/>
      </c>
      <c r="AU471" t="inlineStr">
        <is>
          <t>890384232:eng</t>
        </is>
      </c>
      <c r="AV471" t="inlineStr">
        <is>
          <t>10461051</t>
        </is>
      </c>
      <c r="AW471" t="inlineStr">
        <is>
          <t>991000376259702656</t>
        </is>
      </c>
      <c r="AX471" t="inlineStr">
        <is>
          <t>991000376259702656</t>
        </is>
      </c>
      <c r="AY471" t="inlineStr">
        <is>
          <t>2259827950002656</t>
        </is>
      </c>
      <c r="AZ471" t="inlineStr">
        <is>
          <t>BOOK</t>
        </is>
      </c>
      <c r="BC471" t="inlineStr">
        <is>
          <t>32285002792710</t>
        </is>
      </c>
      <c r="BD471" t="inlineStr">
        <is>
          <t>893614126</t>
        </is>
      </c>
    </row>
    <row r="472">
      <c r="A472" t="inlineStr">
        <is>
          <t>No</t>
        </is>
      </c>
      <c r="B472" t="inlineStr">
        <is>
          <t>QD181.F1 E45 1969</t>
        </is>
      </c>
      <c r="C472" t="inlineStr">
        <is>
          <t>0                      QD 0181000F  1                  E  45          1969</t>
        </is>
      </c>
      <c r="D472" t="inlineStr">
        <is>
          <t>The chemistry of fluorine and its compounds / [by] H. J. Emeléus.</t>
        </is>
      </c>
      <c r="F472" t="inlineStr">
        <is>
          <t>No</t>
        </is>
      </c>
      <c r="G472" t="inlineStr">
        <is>
          <t>1</t>
        </is>
      </c>
      <c r="H472" t="inlineStr">
        <is>
          <t>No</t>
        </is>
      </c>
      <c r="I472" t="inlineStr">
        <is>
          <t>No</t>
        </is>
      </c>
      <c r="J472" t="inlineStr">
        <is>
          <t>0</t>
        </is>
      </c>
      <c r="K472" t="inlineStr">
        <is>
          <t>Emeléus, H. J. (Harry Julius)</t>
        </is>
      </c>
      <c r="L472" t="inlineStr">
        <is>
          <t>New York : Academic Press, 1969.</t>
        </is>
      </c>
      <c r="M472" t="inlineStr">
        <is>
          <t>1969</t>
        </is>
      </c>
      <c r="O472" t="inlineStr">
        <is>
          <t>eng</t>
        </is>
      </c>
      <c r="P472" t="inlineStr">
        <is>
          <t>nyu</t>
        </is>
      </c>
      <c r="Q472" t="inlineStr">
        <is>
          <t>A Polytechnic Press of the Polytechnic Institute of Brooklyn book</t>
        </is>
      </c>
      <c r="R472" t="inlineStr">
        <is>
          <t xml:space="preserve">QD </t>
        </is>
      </c>
      <c r="S472" t="n">
        <v>5</v>
      </c>
      <c r="T472" t="n">
        <v>5</v>
      </c>
      <c r="U472" t="inlineStr">
        <is>
          <t>1994-11-18</t>
        </is>
      </c>
      <c r="V472" t="inlineStr">
        <is>
          <t>1994-11-18</t>
        </is>
      </c>
      <c r="W472" t="inlineStr">
        <is>
          <t>1993-01-25</t>
        </is>
      </c>
      <c r="X472" t="inlineStr">
        <is>
          <t>1993-01-25</t>
        </is>
      </c>
      <c r="Y472" t="n">
        <v>441</v>
      </c>
      <c r="Z472" t="n">
        <v>315</v>
      </c>
      <c r="AA472" t="n">
        <v>349</v>
      </c>
      <c r="AB472" t="n">
        <v>2</v>
      </c>
      <c r="AC472" t="n">
        <v>2</v>
      </c>
      <c r="AD472" t="n">
        <v>18</v>
      </c>
      <c r="AE472" t="n">
        <v>18</v>
      </c>
      <c r="AF472" t="n">
        <v>4</v>
      </c>
      <c r="AG472" t="n">
        <v>4</v>
      </c>
      <c r="AH472" t="n">
        <v>6</v>
      </c>
      <c r="AI472" t="n">
        <v>6</v>
      </c>
      <c r="AJ472" t="n">
        <v>10</v>
      </c>
      <c r="AK472" t="n">
        <v>10</v>
      </c>
      <c r="AL472" t="n">
        <v>1</v>
      </c>
      <c r="AM472" t="n">
        <v>1</v>
      </c>
      <c r="AN472" t="n">
        <v>0</v>
      </c>
      <c r="AO472" t="n">
        <v>0</v>
      </c>
      <c r="AP472" t="inlineStr">
        <is>
          <t>No</t>
        </is>
      </c>
      <c r="AQ472" t="inlineStr">
        <is>
          <t>Yes</t>
        </is>
      </c>
      <c r="AR472">
        <f>HYPERLINK("http://catalog.hathitrust.org/Record/001033129","HathiTrust Record")</f>
        <v/>
      </c>
      <c r="AS472">
        <f>HYPERLINK("https://creighton-primo.hosted.exlibrisgroup.com/primo-explore/search?tab=default_tab&amp;search_scope=EVERYTHING&amp;vid=01CRU&amp;lang=en_US&amp;offset=0&amp;query=any,contains,991000001529702656","Catalog Record")</f>
        <v/>
      </c>
      <c r="AT472">
        <f>HYPERLINK("http://www.worldcat.org/oclc/10438","WorldCat Record")</f>
        <v/>
      </c>
      <c r="AU472" t="inlineStr">
        <is>
          <t>1133592:eng</t>
        </is>
      </c>
      <c r="AV472" t="inlineStr">
        <is>
          <t>10438</t>
        </is>
      </c>
      <c r="AW472" t="inlineStr">
        <is>
          <t>991000001529702656</t>
        </is>
      </c>
      <c r="AX472" t="inlineStr">
        <is>
          <t>991000001529702656</t>
        </is>
      </c>
      <c r="AY472" t="inlineStr">
        <is>
          <t>2268054150002656</t>
        </is>
      </c>
      <c r="AZ472" t="inlineStr">
        <is>
          <t>BOOK</t>
        </is>
      </c>
      <c r="BC472" t="inlineStr">
        <is>
          <t>32285001515690</t>
        </is>
      </c>
      <c r="BD472" t="inlineStr">
        <is>
          <t>893242885</t>
        </is>
      </c>
    </row>
    <row r="473">
      <c r="A473" t="inlineStr">
        <is>
          <t>No</t>
        </is>
      </c>
      <c r="B473" t="inlineStr">
        <is>
          <t>QD181.H1 F3</t>
        </is>
      </c>
      <c r="C473" t="inlineStr">
        <is>
          <t>0                      QD 0181000H  1                  F  3</t>
        </is>
      </c>
      <c r="D473" t="inlineStr">
        <is>
          <t>Orthohydrogen, parahydrogen and heavy hydrogen / by Adalbert Farkas.</t>
        </is>
      </c>
      <c r="F473" t="inlineStr">
        <is>
          <t>No</t>
        </is>
      </c>
      <c r="G473" t="inlineStr">
        <is>
          <t>1</t>
        </is>
      </c>
      <c r="H473" t="inlineStr">
        <is>
          <t>No</t>
        </is>
      </c>
      <c r="I473" t="inlineStr">
        <is>
          <t>No</t>
        </is>
      </c>
      <c r="J473" t="inlineStr">
        <is>
          <t>0</t>
        </is>
      </c>
      <c r="K473" t="inlineStr">
        <is>
          <t>Farkas, A. (Adalbert)</t>
        </is>
      </c>
      <c r="L473" t="inlineStr">
        <is>
          <t>Cambridge, [Eng.] : The University press, 1935.</t>
        </is>
      </c>
      <c r="M473" t="inlineStr">
        <is>
          <t>1935</t>
        </is>
      </c>
      <c r="O473" t="inlineStr">
        <is>
          <t>eng</t>
        </is>
      </c>
      <c r="P473" t="inlineStr">
        <is>
          <t>enk</t>
        </is>
      </c>
      <c r="Q473" t="inlineStr">
        <is>
          <t>The Cambridge series of physical chemistry</t>
        </is>
      </c>
      <c r="R473" t="inlineStr">
        <is>
          <t xml:space="preserve">QD </t>
        </is>
      </c>
      <c r="S473" t="n">
        <v>2</v>
      </c>
      <c r="T473" t="n">
        <v>2</v>
      </c>
      <c r="U473" t="inlineStr">
        <is>
          <t>1992-04-08</t>
        </is>
      </c>
      <c r="V473" t="inlineStr">
        <is>
          <t>1992-04-08</t>
        </is>
      </c>
      <c r="W473" t="inlineStr">
        <is>
          <t>1992-03-24</t>
        </is>
      </c>
      <c r="X473" t="inlineStr">
        <is>
          <t>1992-03-24</t>
        </is>
      </c>
      <c r="Y473" t="n">
        <v>236</v>
      </c>
      <c r="Z473" t="n">
        <v>176</v>
      </c>
      <c r="AA473" t="n">
        <v>184</v>
      </c>
      <c r="AB473" t="n">
        <v>2</v>
      </c>
      <c r="AC473" t="n">
        <v>2</v>
      </c>
      <c r="AD473" t="n">
        <v>8</v>
      </c>
      <c r="AE473" t="n">
        <v>8</v>
      </c>
      <c r="AF473" t="n">
        <v>2</v>
      </c>
      <c r="AG473" t="n">
        <v>2</v>
      </c>
      <c r="AH473" t="n">
        <v>2</v>
      </c>
      <c r="AI473" t="n">
        <v>2</v>
      </c>
      <c r="AJ473" t="n">
        <v>5</v>
      </c>
      <c r="AK473" t="n">
        <v>5</v>
      </c>
      <c r="AL473" t="n">
        <v>1</v>
      </c>
      <c r="AM473" t="n">
        <v>1</v>
      </c>
      <c r="AN473" t="n">
        <v>0</v>
      </c>
      <c r="AO473" t="n">
        <v>0</v>
      </c>
      <c r="AP473" t="inlineStr">
        <is>
          <t>No</t>
        </is>
      </c>
      <c r="AQ473" t="inlineStr">
        <is>
          <t>Yes</t>
        </is>
      </c>
      <c r="AR473">
        <f>HYPERLINK("http://catalog.hathitrust.org/Record/001112661","HathiTrust Record")</f>
        <v/>
      </c>
      <c r="AS473">
        <f>HYPERLINK("https://creighton-primo.hosted.exlibrisgroup.com/primo-explore/search?tab=default_tab&amp;search_scope=EVERYTHING&amp;vid=01CRU&amp;lang=en_US&amp;offset=0&amp;query=any,contains,991003713529702656","Catalog Record")</f>
        <v/>
      </c>
      <c r="AT473">
        <f>HYPERLINK("http://www.worldcat.org/oclc/1356237","WorldCat Record")</f>
        <v/>
      </c>
      <c r="AU473" t="inlineStr">
        <is>
          <t>2254004:eng</t>
        </is>
      </c>
      <c r="AV473" t="inlineStr">
        <is>
          <t>1356237</t>
        </is>
      </c>
      <c r="AW473" t="inlineStr">
        <is>
          <t>991003713529702656</t>
        </is>
      </c>
      <c r="AX473" t="inlineStr">
        <is>
          <t>991003713529702656</t>
        </is>
      </c>
      <c r="AY473" t="inlineStr">
        <is>
          <t>2272280960002656</t>
        </is>
      </c>
      <c r="AZ473" t="inlineStr">
        <is>
          <t>BOOK</t>
        </is>
      </c>
      <c r="BC473" t="inlineStr">
        <is>
          <t>32285001026813</t>
        </is>
      </c>
      <c r="BD473" t="inlineStr">
        <is>
          <t>893787657</t>
        </is>
      </c>
    </row>
    <row r="474">
      <c r="A474" t="inlineStr">
        <is>
          <t>No</t>
        </is>
      </c>
      <c r="B474" t="inlineStr">
        <is>
          <t>QD181.H1 H76</t>
        </is>
      </c>
      <c r="C474" t="inlineStr">
        <is>
          <t>0                      QD 0181000H  1                  H  76</t>
        </is>
      </c>
      <c r="D474" t="inlineStr">
        <is>
          <t>An introduction to the chemistry of the hydrides.</t>
        </is>
      </c>
      <c r="F474" t="inlineStr">
        <is>
          <t>No</t>
        </is>
      </c>
      <c r="G474" t="inlineStr">
        <is>
          <t>1</t>
        </is>
      </c>
      <c r="H474" t="inlineStr">
        <is>
          <t>No</t>
        </is>
      </c>
      <c r="I474" t="inlineStr">
        <is>
          <t>No</t>
        </is>
      </c>
      <c r="J474" t="inlineStr">
        <is>
          <t>0</t>
        </is>
      </c>
      <c r="K474" t="inlineStr">
        <is>
          <t>Hurd, Dallas T.</t>
        </is>
      </c>
      <c r="L474" t="inlineStr">
        <is>
          <t>New York, Wiley [1952]</t>
        </is>
      </c>
      <c r="M474" t="inlineStr">
        <is>
          <t>1952</t>
        </is>
      </c>
      <c r="O474" t="inlineStr">
        <is>
          <t>eng</t>
        </is>
      </c>
      <c r="P474" t="inlineStr">
        <is>
          <t>nyu</t>
        </is>
      </c>
      <c r="R474" t="inlineStr">
        <is>
          <t xml:space="preserve">QD </t>
        </is>
      </c>
      <c r="S474" t="n">
        <v>1</v>
      </c>
      <c r="T474" t="n">
        <v>1</v>
      </c>
      <c r="U474" t="inlineStr">
        <is>
          <t>1997-04-18</t>
        </is>
      </c>
      <c r="V474" t="inlineStr">
        <is>
          <t>1997-04-18</t>
        </is>
      </c>
      <c r="W474" t="inlineStr">
        <is>
          <t>1997-04-18</t>
        </is>
      </c>
      <c r="X474" t="inlineStr">
        <is>
          <t>1997-04-18</t>
        </is>
      </c>
      <c r="Y474" t="n">
        <v>437</v>
      </c>
      <c r="Z474" t="n">
        <v>348</v>
      </c>
      <c r="AA474" t="n">
        <v>354</v>
      </c>
      <c r="AB474" t="n">
        <v>3</v>
      </c>
      <c r="AC474" t="n">
        <v>3</v>
      </c>
      <c r="AD474" t="n">
        <v>21</v>
      </c>
      <c r="AE474" t="n">
        <v>21</v>
      </c>
      <c r="AF474" t="n">
        <v>6</v>
      </c>
      <c r="AG474" t="n">
        <v>6</v>
      </c>
      <c r="AH474" t="n">
        <v>6</v>
      </c>
      <c r="AI474" t="n">
        <v>6</v>
      </c>
      <c r="AJ474" t="n">
        <v>12</v>
      </c>
      <c r="AK474" t="n">
        <v>12</v>
      </c>
      <c r="AL474" t="n">
        <v>2</v>
      </c>
      <c r="AM474" t="n">
        <v>2</v>
      </c>
      <c r="AN474" t="n">
        <v>0</v>
      </c>
      <c r="AO474" t="n">
        <v>0</v>
      </c>
      <c r="AP474" t="inlineStr">
        <is>
          <t>Yes</t>
        </is>
      </c>
      <c r="AQ474" t="inlineStr">
        <is>
          <t>No</t>
        </is>
      </c>
      <c r="AR474">
        <f>HYPERLINK("http://catalog.hathitrust.org/Record/001113601","HathiTrust Record")</f>
        <v/>
      </c>
      <c r="AS474">
        <f>HYPERLINK("https://creighton-primo.hosted.exlibrisgroup.com/primo-explore/search?tab=default_tab&amp;search_scope=EVERYTHING&amp;vid=01CRU&amp;lang=en_US&amp;offset=0&amp;query=any,contains,991002956869702656","Catalog Record")</f>
        <v/>
      </c>
      <c r="AT474">
        <f>HYPERLINK("http://www.worldcat.org/oclc/542412","WorldCat Record")</f>
        <v/>
      </c>
      <c r="AU474" t="inlineStr">
        <is>
          <t>1571554:eng</t>
        </is>
      </c>
      <c r="AV474" t="inlineStr">
        <is>
          <t>542412</t>
        </is>
      </c>
      <c r="AW474" t="inlineStr">
        <is>
          <t>991002956869702656</t>
        </is>
      </c>
      <c r="AX474" t="inlineStr">
        <is>
          <t>991002956869702656</t>
        </is>
      </c>
      <c r="AY474" t="inlineStr">
        <is>
          <t>2266666800002656</t>
        </is>
      </c>
      <c r="AZ474" t="inlineStr">
        <is>
          <t>BOOK</t>
        </is>
      </c>
      <c r="BC474" t="inlineStr">
        <is>
          <t>32285002586302</t>
        </is>
      </c>
      <c r="BD474" t="inlineStr">
        <is>
          <t>893440741</t>
        </is>
      </c>
    </row>
    <row r="475">
      <c r="A475" t="inlineStr">
        <is>
          <t>No</t>
        </is>
      </c>
      <c r="B475" t="inlineStr">
        <is>
          <t>QD181.H1 R54 2002</t>
        </is>
      </c>
      <c r="C475" t="inlineStr">
        <is>
          <t>0                      QD 0181000H  1                  R  54          2002</t>
        </is>
      </c>
      <c r="D475" t="inlineStr">
        <is>
          <t>Hydrogen : the essential element / John S. Rigden.</t>
        </is>
      </c>
      <c r="F475" t="inlineStr">
        <is>
          <t>No</t>
        </is>
      </c>
      <c r="G475" t="inlineStr">
        <is>
          <t>1</t>
        </is>
      </c>
      <c r="H475" t="inlineStr">
        <is>
          <t>No</t>
        </is>
      </c>
      <c r="I475" t="inlineStr">
        <is>
          <t>No</t>
        </is>
      </c>
      <c r="J475" t="inlineStr">
        <is>
          <t>0</t>
        </is>
      </c>
      <c r="K475" t="inlineStr">
        <is>
          <t>Rigden, John S.</t>
        </is>
      </c>
      <c r="L475" t="inlineStr">
        <is>
          <t>Cambridge, Mass. : Harvard University Press, 2002.</t>
        </is>
      </c>
      <c r="M475" t="inlineStr">
        <is>
          <t>2002</t>
        </is>
      </c>
      <c r="O475" t="inlineStr">
        <is>
          <t>eng</t>
        </is>
      </c>
      <c r="P475" t="inlineStr">
        <is>
          <t>mau</t>
        </is>
      </c>
      <c r="R475" t="inlineStr">
        <is>
          <t xml:space="preserve">QD </t>
        </is>
      </c>
      <c r="S475" t="n">
        <v>1</v>
      </c>
      <c r="T475" t="n">
        <v>1</v>
      </c>
      <c r="U475" t="inlineStr">
        <is>
          <t>2002-11-04</t>
        </is>
      </c>
      <c r="V475" t="inlineStr">
        <is>
          <t>2002-11-04</t>
        </is>
      </c>
      <c r="W475" t="inlineStr">
        <is>
          <t>2002-11-04</t>
        </is>
      </c>
      <c r="X475" t="inlineStr">
        <is>
          <t>2002-11-04</t>
        </is>
      </c>
      <c r="Y475" t="n">
        <v>1333</v>
      </c>
      <c r="Z475" t="n">
        <v>1189</v>
      </c>
      <c r="AA475" t="n">
        <v>1202</v>
      </c>
      <c r="AB475" t="n">
        <v>6</v>
      </c>
      <c r="AC475" t="n">
        <v>6</v>
      </c>
      <c r="AD475" t="n">
        <v>32</v>
      </c>
      <c r="AE475" t="n">
        <v>33</v>
      </c>
      <c r="AF475" t="n">
        <v>17</v>
      </c>
      <c r="AG475" t="n">
        <v>17</v>
      </c>
      <c r="AH475" t="n">
        <v>4</v>
      </c>
      <c r="AI475" t="n">
        <v>4</v>
      </c>
      <c r="AJ475" t="n">
        <v>13</v>
      </c>
      <c r="AK475" t="n">
        <v>14</v>
      </c>
      <c r="AL475" t="n">
        <v>4</v>
      </c>
      <c r="AM475" t="n">
        <v>4</v>
      </c>
      <c r="AN475" t="n">
        <v>0</v>
      </c>
      <c r="AO475" t="n">
        <v>0</v>
      </c>
      <c r="AP475" t="inlineStr">
        <is>
          <t>No</t>
        </is>
      </c>
      <c r="AQ475" t="inlineStr">
        <is>
          <t>Yes</t>
        </is>
      </c>
      <c r="AR475">
        <f>HYPERLINK("http://catalog.hathitrust.org/Record/004244875","HathiTrust Record")</f>
        <v/>
      </c>
      <c r="AS475">
        <f>HYPERLINK("https://creighton-primo.hosted.exlibrisgroup.com/primo-explore/search?tab=default_tab&amp;search_scope=EVERYTHING&amp;vid=01CRU&amp;lang=en_US&amp;offset=0&amp;query=any,contains,991003908989702656","Catalog Record")</f>
        <v/>
      </c>
      <c r="AT475">
        <f>HYPERLINK("http://www.worldcat.org/oclc/48256825","WorldCat Record")</f>
        <v/>
      </c>
      <c r="AU475" t="inlineStr">
        <is>
          <t>837085635:eng</t>
        </is>
      </c>
      <c r="AV475" t="inlineStr">
        <is>
          <t>48256825</t>
        </is>
      </c>
      <c r="AW475" t="inlineStr">
        <is>
          <t>991003908989702656</t>
        </is>
      </c>
      <c r="AX475" t="inlineStr">
        <is>
          <t>991003908989702656</t>
        </is>
      </c>
      <c r="AY475" t="inlineStr">
        <is>
          <t>2260253830002656</t>
        </is>
      </c>
      <c r="AZ475" t="inlineStr">
        <is>
          <t>BOOK</t>
        </is>
      </c>
      <c r="BB475" t="inlineStr">
        <is>
          <t>9780674007383</t>
        </is>
      </c>
      <c r="BC475" t="inlineStr">
        <is>
          <t>32285004660600</t>
        </is>
      </c>
      <c r="BD475" t="inlineStr">
        <is>
          <t>893900552</t>
        </is>
      </c>
    </row>
    <row r="476">
      <c r="A476" t="inlineStr">
        <is>
          <t>No</t>
        </is>
      </c>
      <c r="B476" t="inlineStr">
        <is>
          <t>QD181.H6 C45 1977b</t>
        </is>
      </c>
      <c r="C476" t="inlineStr">
        <is>
          <t>0                      QD 0181000H  6                  C  45          1977b</t>
        </is>
      </c>
      <c r="D476" t="inlineStr">
        <is>
          <t>The Chemistry of mercury / edited by C. A. McAuliffe. --</t>
        </is>
      </c>
      <c r="F476" t="inlineStr">
        <is>
          <t>No</t>
        </is>
      </c>
      <c r="G476" t="inlineStr">
        <is>
          <t>1</t>
        </is>
      </c>
      <c r="H476" t="inlineStr">
        <is>
          <t>No</t>
        </is>
      </c>
      <c r="I476" t="inlineStr">
        <is>
          <t>No</t>
        </is>
      </c>
      <c r="J476" t="inlineStr">
        <is>
          <t>0</t>
        </is>
      </c>
      <c r="L476" t="inlineStr">
        <is>
          <t>Toronto : Macmillan of Canada ; [Niagara Falls, N.Y.] : Maclean-Hunter Press, 1977.</t>
        </is>
      </c>
      <c r="M476" t="inlineStr">
        <is>
          <t>1977</t>
        </is>
      </c>
      <c r="O476" t="inlineStr">
        <is>
          <t>eng</t>
        </is>
      </c>
      <c r="P476" t="inlineStr">
        <is>
          <t>onc</t>
        </is>
      </c>
      <c r="Q476" t="inlineStr">
        <is>
          <t>Aspects of inorganic chemistry</t>
        </is>
      </c>
      <c r="R476" t="inlineStr">
        <is>
          <t xml:space="preserve">QD </t>
        </is>
      </c>
      <c r="S476" t="n">
        <v>5</v>
      </c>
      <c r="T476" t="n">
        <v>5</v>
      </c>
      <c r="U476" t="inlineStr">
        <is>
          <t>1994-11-20</t>
        </is>
      </c>
      <c r="V476" t="inlineStr">
        <is>
          <t>1994-11-20</t>
        </is>
      </c>
      <c r="W476" t="inlineStr">
        <is>
          <t>1993-03-02</t>
        </is>
      </c>
      <c r="X476" t="inlineStr">
        <is>
          <t>1993-03-02</t>
        </is>
      </c>
      <c r="Y476" t="n">
        <v>106</v>
      </c>
      <c r="Z476" t="n">
        <v>93</v>
      </c>
      <c r="AA476" t="n">
        <v>208</v>
      </c>
      <c r="AB476" t="n">
        <v>1</v>
      </c>
      <c r="AC476" t="n">
        <v>2</v>
      </c>
      <c r="AD476" t="n">
        <v>2</v>
      </c>
      <c r="AE476" t="n">
        <v>7</v>
      </c>
      <c r="AF476" t="n">
        <v>0</v>
      </c>
      <c r="AG476" t="n">
        <v>1</v>
      </c>
      <c r="AH476" t="n">
        <v>1</v>
      </c>
      <c r="AI476" t="n">
        <v>2</v>
      </c>
      <c r="AJ476" t="n">
        <v>2</v>
      </c>
      <c r="AK476" t="n">
        <v>4</v>
      </c>
      <c r="AL476" t="n">
        <v>0</v>
      </c>
      <c r="AM476" t="n">
        <v>1</v>
      </c>
      <c r="AN476" t="n">
        <v>0</v>
      </c>
      <c r="AO476" t="n">
        <v>0</v>
      </c>
      <c r="AP476" t="inlineStr">
        <is>
          <t>No</t>
        </is>
      </c>
      <c r="AQ476" t="inlineStr">
        <is>
          <t>Yes</t>
        </is>
      </c>
      <c r="AR476">
        <f>HYPERLINK("http://catalog.hathitrust.org/Record/009694775","HathiTrust Record")</f>
        <v/>
      </c>
      <c r="AS476">
        <f>HYPERLINK("https://creighton-primo.hosted.exlibrisgroup.com/primo-explore/search?tab=default_tab&amp;search_scope=EVERYTHING&amp;vid=01CRU&amp;lang=en_US&amp;offset=0&amp;query=any,contains,991004534279702656","Catalog Record")</f>
        <v/>
      </c>
      <c r="AT476">
        <f>HYPERLINK("http://www.worldcat.org/oclc/3868330","WorldCat Record")</f>
        <v/>
      </c>
      <c r="AU476" t="inlineStr">
        <is>
          <t>54187760:eng</t>
        </is>
      </c>
      <c r="AV476" t="inlineStr">
        <is>
          <t>3868330</t>
        </is>
      </c>
      <c r="AW476" t="inlineStr">
        <is>
          <t>991004534279702656</t>
        </is>
      </c>
      <c r="AX476" t="inlineStr">
        <is>
          <t>991004534279702656</t>
        </is>
      </c>
      <c r="AY476" t="inlineStr">
        <is>
          <t>2264860770002656</t>
        </is>
      </c>
      <c r="AZ476" t="inlineStr">
        <is>
          <t>BOOK</t>
        </is>
      </c>
      <c r="BB476" t="inlineStr">
        <is>
          <t>9780770514693</t>
        </is>
      </c>
      <c r="BC476" t="inlineStr">
        <is>
          <t>32285001541415</t>
        </is>
      </c>
      <c r="BD476" t="inlineStr">
        <is>
          <t>893776124</t>
        </is>
      </c>
    </row>
    <row r="477">
      <c r="A477" t="inlineStr">
        <is>
          <t>No</t>
        </is>
      </c>
      <c r="B477" t="inlineStr">
        <is>
          <t>QD181.O1 A73</t>
        </is>
      </c>
      <c r="C477" t="inlineStr">
        <is>
          <t>0                      QD 0181000O  1                  A  73</t>
        </is>
      </c>
      <c r="D477" t="inlineStr">
        <is>
          <t>Oxygen : elementary forms and hydrogen peroxide.</t>
        </is>
      </c>
      <c r="F477" t="inlineStr">
        <is>
          <t>No</t>
        </is>
      </c>
      <c r="G477" t="inlineStr">
        <is>
          <t>1</t>
        </is>
      </c>
      <c r="H477" t="inlineStr">
        <is>
          <t>No</t>
        </is>
      </c>
      <c r="I477" t="inlineStr">
        <is>
          <t>No</t>
        </is>
      </c>
      <c r="J477" t="inlineStr">
        <is>
          <t>0</t>
        </is>
      </c>
      <c r="K477" t="inlineStr">
        <is>
          <t>Ardon, Michael, 1928-</t>
        </is>
      </c>
      <c r="L477" t="inlineStr">
        <is>
          <t>New York : W.A. Benjamin, 1965.</t>
        </is>
      </c>
      <c r="M477" t="inlineStr">
        <is>
          <t>1965</t>
        </is>
      </c>
      <c r="O477" t="inlineStr">
        <is>
          <t>eng</t>
        </is>
      </c>
      <c r="P477" t="inlineStr">
        <is>
          <t>nyu</t>
        </is>
      </c>
      <c r="Q477" t="inlineStr">
        <is>
          <t>The Physical inorganic chemistry series</t>
        </is>
      </c>
      <c r="R477" t="inlineStr">
        <is>
          <t xml:space="preserve">QD </t>
        </is>
      </c>
      <c r="S477" t="n">
        <v>12</v>
      </c>
      <c r="T477" t="n">
        <v>12</v>
      </c>
      <c r="U477" t="inlineStr">
        <is>
          <t>1998-02-02</t>
        </is>
      </c>
      <c r="V477" t="inlineStr">
        <is>
          <t>1998-02-02</t>
        </is>
      </c>
      <c r="W477" t="inlineStr">
        <is>
          <t>1993-05-11</t>
        </is>
      </c>
      <c r="X477" t="inlineStr">
        <is>
          <t>1993-05-11</t>
        </is>
      </c>
      <c r="Y477" t="n">
        <v>346</v>
      </c>
      <c r="Z477" t="n">
        <v>265</v>
      </c>
      <c r="AA477" t="n">
        <v>271</v>
      </c>
      <c r="AB477" t="n">
        <v>5</v>
      </c>
      <c r="AC477" t="n">
        <v>5</v>
      </c>
      <c r="AD477" t="n">
        <v>17</v>
      </c>
      <c r="AE477" t="n">
        <v>17</v>
      </c>
      <c r="AF477" t="n">
        <v>3</v>
      </c>
      <c r="AG477" t="n">
        <v>3</v>
      </c>
      <c r="AH477" t="n">
        <v>4</v>
      </c>
      <c r="AI477" t="n">
        <v>4</v>
      </c>
      <c r="AJ477" t="n">
        <v>8</v>
      </c>
      <c r="AK477" t="n">
        <v>8</v>
      </c>
      <c r="AL477" t="n">
        <v>4</v>
      </c>
      <c r="AM477" t="n">
        <v>4</v>
      </c>
      <c r="AN477" t="n">
        <v>0</v>
      </c>
      <c r="AO477" t="n">
        <v>0</v>
      </c>
      <c r="AP477" t="inlineStr">
        <is>
          <t>No</t>
        </is>
      </c>
      <c r="AQ477" t="inlineStr">
        <is>
          <t>No</t>
        </is>
      </c>
      <c r="AS477">
        <f>HYPERLINK("https://creighton-primo.hosted.exlibrisgroup.com/primo-explore/search?tab=default_tab&amp;search_scope=EVERYTHING&amp;vid=01CRU&amp;lang=en_US&amp;offset=0&amp;query=any,contains,991000378949702656","Catalog Record")</f>
        <v/>
      </c>
      <c r="AT477">
        <f>HYPERLINK("http://www.worldcat.org/oclc/10483686","WorldCat Record")</f>
        <v/>
      </c>
      <c r="AU477" t="inlineStr">
        <is>
          <t>905604681:eng</t>
        </is>
      </c>
      <c r="AV477" t="inlineStr">
        <is>
          <t>10483686</t>
        </is>
      </c>
      <c r="AW477" t="inlineStr">
        <is>
          <t>991000378949702656</t>
        </is>
      </c>
      <c r="AX477" t="inlineStr">
        <is>
          <t>991000378949702656</t>
        </is>
      </c>
      <c r="AY477" t="inlineStr">
        <is>
          <t>2263429100002656</t>
        </is>
      </c>
      <c r="AZ477" t="inlineStr">
        <is>
          <t>BOOK</t>
        </is>
      </c>
      <c r="BC477" t="inlineStr">
        <is>
          <t>32285001652949</t>
        </is>
      </c>
      <c r="BD477" t="inlineStr">
        <is>
          <t>893890615</t>
        </is>
      </c>
    </row>
    <row r="478">
      <c r="A478" t="inlineStr">
        <is>
          <t>No</t>
        </is>
      </c>
      <c r="B478" t="inlineStr">
        <is>
          <t>QD181.O1 C46 1983</t>
        </is>
      </c>
      <c r="C478" t="inlineStr">
        <is>
          <t>0                      QD 0181000O  1                  C  46          1983</t>
        </is>
      </c>
      <c r="D478" t="inlineStr">
        <is>
          <t>The Chemistry of peroxides / edited by Saul Patai.</t>
        </is>
      </c>
      <c r="F478" t="inlineStr">
        <is>
          <t>No</t>
        </is>
      </c>
      <c r="G478" t="inlineStr">
        <is>
          <t>1</t>
        </is>
      </c>
      <c r="H478" t="inlineStr">
        <is>
          <t>No</t>
        </is>
      </c>
      <c r="I478" t="inlineStr">
        <is>
          <t>No</t>
        </is>
      </c>
      <c r="J478" t="inlineStr">
        <is>
          <t>0</t>
        </is>
      </c>
      <c r="L478" t="inlineStr">
        <is>
          <t>Chichester [West Sussex] ; New York : Wiley, c1983, 1985 printing.</t>
        </is>
      </c>
      <c r="M478" t="inlineStr">
        <is>
          <t>1983</t>
        </is>
      </c>
      <c r="O478" t="inlineStr">
        <is>
          <t>eng</t>
        </is>
      </c>
      <c r="P478" t="inlineStr">
        <is>
          <t>enk</t>
        </is>
      </c>
      <c r="Q478" t="inlineStr">
        <is>
          <t>The Chemistry of functional groups</t>
        </is>
      </c>
      <c r="R478" t="inlineStr">
        <is>
          <t xml:space="preserve">QD </t>
        </is>
      </c>
      <c r="S478" t="n">
        <v>8</v>
      </c>
      <c r="T478" t="n">
        <v>8</v>
      </c>
      <c r="U478" t="inlineStr">
        <is>
          <t>1998-02-02</t>
        </is>
      </c>
      <c r="V478" t="inlineStr">
        <is>
          <t>1998-02-02</t>
        </is>
      </c>
      <c r="W478" t="inlineStr">
        <is>
          <t>1992-04-20</t>
        </is>
      </c>
      <c r="X478" t="inlineStr">
        <is>
          <t>1992-04-20</t>
        </is>
      </c>
      <c r="Y478" t="n">
        <v>265</v>
      </c>
      <c r="Z478" t="n">
        <v>185</v>
      </c>
      <c r="AA478" t="n">
        <v>259</v>
      </c>
      <c r="AB478" t="n">
        <v>2</v>
      </c>
      <c r="AC478" t="n">
        <v>2</v>
      </c>
      <c r="AD478" t="n">
        <v>8</v>
      </c>
      <c r="AE478" t="n">
        <v>8</v>
      </c>
      <c r="AF478" t="n">
        <v>1</v>
      </c>
      <c r="AG478" t="n">
        <v>1</v>
      </c>
      <c r="AH478" t="n">
        <v>2</v>
      </c>
      <c r="AI478" t="n">
        <v>2</v>
      </c>
      <c r="AJ478" t="n">
        <v>6</v>
      </c>
      <c r="AK478" t="n">
        <v>6</v>
      </c>
      <c r="AL478" t="n">
        <v>1</v>
      </c>
      <c r="AM478" t="n">
        <v>1</v>
      </c>
      <c r="AN478" t="n">
        <v>0</v>
      </c>
      <c r="AO478" t="n">
        <v>0</v>
      </c>
      <c r="AP478" t="inlineStr">
        <is>
          <t>No</t>
        </is>
      </c>
      <c r="AQ478" t="inlineStr">
        <is>
          <t>Yes</t>
        </is>
      </c>
      <c r="AR478">
        <f>HYPERLINK("http://catalog.hathitrust.org/Record/000282383","HathiTrust Record")</f>
        <v/>
      </c>
      <c r="AS478">
        <f>HYPERLINK("https://creighton-primo.hosted.exlibrisgroup.com/primo-explore/search?tab=default_tab&amp;search_scope=EVERYTHING&amp;vid=01CRU&amp;lang=en_US&amp;offset=0&amp;query=any,contains,991000250719702656","Catalog Record")</f>
        <v/>
      </c>
      <c r="AT478">
        <f>HYPERLINK("http://www.worldcat.org/oclc/9756813","WorldCat Record")</f>
        <v/>
      </c>
      <c r="AU478" t="inlineStr">
        <is>
          <t>54589499:eng</t>
        </is>
      </c>
      <c r="AV478" t="inlineStr">
        <is>
          <t>9756813</t>
        </is>
      </c>
      <c r="AW478" t="inlineStr">
        <is>
          <t>991000250719702656</t>
        </is>
      </c>
      <c r="AX478" t="inlineStr">
        <is>
          <t>991000250719702656</t>
        </is>
      </c>
      <c r="AY478" t="inlineStr">
        <is>
          <t>2256610710002656</t>
        </is>
      </c>
      <c r="AZ478" t="inlineStr">
        <is>
          <t>BOOK</t>
        </is>
      </c>
      <c r="BB478" t="inlineStr">
        <is>
          <t>9780471102182</t>
        </is>
      </c>
      <c r="BC478" t="inlineStr">
        <is>
          <t>32285001063261</t>
        </is>
      </c>
      <c r="BD478" t="inlineStr">
        <is>
          <t>893320938</t>
        </is>
      </c>
    </row>
    <row r="479">
      <c r="A479" t="inlineStr">
        <is>
          <t>No</t>
        </is>
      </c>
      <c r="B479" t="inlineStr">
        <is>
          <t>QD181.O1 F5813 1982</t>
        </is>
      </c>
      <c r="C479" t="inlineStr">
        <is>
          <t>0                      QD 0181000O  1                  F  5813        1982</t>
        </is>
      </c>
      <c r="D479" t="inlineStr">
        <is>
          <t>The Oxide handbook / edited by G. V. Samsonov ; translated from Russian by Robert K. Johston.</t>
        </is>
      </c>
      <c r="F479" t="inlineStr">
        <is>
          <t>No</t>
        </is>
      </c>
      <c r="G479" t="inlineStr">
        <is>
          <t>1</t>
        </is>
      </c>
      <c r="H479" t="inlineStr">
        <is>
          <t>No</t>
        </is>
      </c>
      <c r="I479" t="inlineStr">
        <is>
          <t>Yes</t>
        </is>
      </c>
      <c r="J479" t="inlineStr">
        <is>
          <t>0</t>
        </is>
      </c>
      <c r="L479" t="inlineStr">
        <is>
          <t>New York : IFI/Plenum, c1982.</t>
        </is>
      </c>
      <c r="M479" t="inlineStr">
        <is>
          <t>1982</t>
        </is>
      </c>
      <c r="N479" t="inlineStr">
        <is>
          <t>2d ed.</t>
        </is>
      </c>
      <c r="O479" t="inlineStr">
        <is>
          <t>eng</t>
        </is>
      </c>
      <c r="P479" t="inlineStr">
        <is>
          <t>nyu</t>
        </is>
      </c>
      <c r="Q479" t="inlineStr">
        <is>
          <t>IFI data base library</t>
        </is>
      </c>
      <c r="R479" t="inlineStr">
        <is>
          <t xml:space="preserve">QD </t>
        </is>
      </c>
      <c r="S479" t="n">
        <v>3</v>
      </c>
      <c r="T479" t="n">
        <v>3</v>
      </c>
      <c r="U479" t="inlineStr">
        <is>
          <t>2001-10-08</t>
        </is>
      </c>
      <c r="V479" t="inlineStr">
        <is>
          <t>2001-10-08</t>
        </is>
      </c>
      <c r="W479" t="inlineStr">
        <is>
          <t>1993-01-25</t>
        </is>
      </c>
      <c r="X479" t="inlineStr">
        <is>
          <t>1993-01-25</t>
        </is>
      </c>
      <c r="Y479" t="n">
        <v>200</v>
      </c>
      <c r="Z479" t="n">
        <v>140</v>
      </c>
      <c r="AA479" t="n">
        <v>290</v>
      </c>
      <c r="AB479" t="n">
        <v>2</v>
      </c>
      <c r="AC479" t="n">
        <v>2</v>
      </c>
      <c r="AD479" t="n">
        <v>4</v>
      </c>
      <c r="AE479" t="n">
        <v>7</v>
      </c>
      <c r="AF479" t="n">
        <v>1</v>
      </c>
      <c r="AG479" t="n">
        <v>1</v>
      </c>
      <c r="AH479" t="n">
        <v>2</v>
      </c>
      <c r="AI479" t="n">
        <v>3</v>
      </c>
      <c r="AJ479" t="n">
        <v>2</v>
      </c>
      <c r="AK479" t="n">
        <v>4</v>
      </c>
      <c r="AL479" t="n">
        <v>1</v>
      </c>
      <c r="AM479" t="n">
        <v>1</v>
      </c>
      <c r="AN479" t="n">
        <v>0</v>
      </c>
      <c r="AO479" t="n">
        <v>0</v>
      </c>
      <c r="AP479" t="inlineStr">
        <is>
          <t>No</t>
        </is>
      </c>
      <c r="AQ479" t="inlineStr">
        <is>
          <t>Yes</t>
        </is>
      </c>
      <c r="AR479">
        <f>HYPERLINK("http://catalog.hathitrust.org/Record/000763755","HathiTrust Record")</f>
        <v/>
      </c>
      <c r="AS479">
        <f>HYPERLINK("https://creighton-primo.hosted.exlibrisgroup.com/primo-explore/search?tab=default_tab&amp;search_scope=EVERYTHING&amp;vid=01CRU&amp;lang=en_US&amp;offset=0&amp;query=any,contains,991005036799702656","Catalog Record")</f>
        <v/>
      </c>
      <c r="AT479">
        <f>HYPERLINK("http://www.worldcat.org/oclc/6762254","WorldCat Record")</f>
        <v/>
      </c>
      <c r="AU479" t="inlineStr">
        <is>
          <t>53997290:eng</t>
        </is>
      </c>
      <c r="AV479" t="inlineStr">
        <is>
          <t>6762254</t>
        </is>
      </c>
      <c r="AW479" t="inlineStr">
        <is>
          <t>991005036799702656</t>
        </is>
      </c>
      <c r="AX479" t="inlineStr">
        <is>
          <t>991005036799702656</t>
        </is>
      </c>
      <c r="AY479" t="inlineStr">
        <is>
          <t>2262921030002656</t>
        </is>
      </c>
      <c r="AZ479" t="inlineStr">
        <is>
          <t>BOOK</t>
        </is>
      </c>
      <c r="BB479" t="inlineStr">
        <is>
          <t>9780306651779</t>
        </is>
      </c>
      <c r="BC479" t="inlineStr">
        <is>
          <t>32285001515708</t>
        </is>
      </c>
      <c r="BD479" t="inlineStr">
        <is>
          <t>893889580</t>
        </is>
      </c>
    </row>
    <row r="480">
      <c r="A480" t="inlineStr">
        <is>
          <t>No</t>
        </is>
      </c>
      <c r="B480" t="inlineStr">
        <is>
          <t>QD181.O1 I93 1987</t>
        </is>
      </c>
      <c r="C480" t="inlineStr">
        <is>
          <t>0                      QD 0181000O  1                  I  93          1987</t>
        </is>
      </c>
      <c r="D480" t="inlineStr">
        <is>
          <t>Oxygen complexes and oxygen activation by transition metals / edited by Arthur E. Martell and Donald T. Sawyer.</t>
        </is>
      </c>
      <c r="F480" t="inlineStr">
        <is>
          <t>No</t>
        </is>
      </c>
      <c r="G480" t="inlineStr">
        <is>
          <t>1</t>
        </is>
      </c>
      <c r="H480" t="inlineStr">
        <is>
          <t>No</t>
        </is>
      </c>
      <c r="I480" t="inlineStr">
        <is>
          <t>No</t>
        </is>
      </c>
      <c r="J480" t="inlineStr">
        <is>
          <t>0</t>
        </is>
      </c>
      <c r="K480" t="inlineStr">
        <is>
          <t>IUCCP Symposium, Oxygen Complexes and Oxygen Activation by Metal Complexes (1987 : Texas A &amp; M University)</t>
        </is>
      </c>
      <c r="L480" t="inlineStr">
        <is>
          <t>New York : Plenum Press, c1988.</t>
        </is>
      </c>
      <c r="M480" t="inlineStr">
        <is>
          <t>1988</t>
        </is>
      </c>
      <c r="O480" t="inlineStr">
        <is>
          <t>eng</t>
        </is>
      </c>
      <c r="P480" t="inlineStr">
        <is>
          <t>nyu</t>
        </is>
      </c>
      <c r="R480" t="inlineStr">
        <is>
          <t xml:space="preserve">QD </t>
        </is>
      </c>
      <c r="S480" t="n">
        <v>2</v>
      </c>
      <c r="T480" t="n">
        <v>2</v>
      </c>
      <c r="U480" t="inlineStr">
        <is>
          <t>1994-11-20</t>
        </is>
      </c>
      <c r="V480" t="inlineStr">
        <is>
          <t>1994-11-20</t>
        </is>
      </c>
      <c r="W480" t="inlineStr">
        <is>
          <t>1993-01-25</t>
        </is>
      </c>
      <c r="X480" t="inlineStr">
        <is>
          <t>1993-01-25</t>
        </is>
      </c>
      <c r="Y480" t="n">
        <v>251</v>
      </c>
      <c r="Z480" t="n">
        <v>184</v>
      </c>
      <c r="AA480" t="n">
        <v>201</v>
      </c>
      <c r="AB480" t="n">
        <v>1</v>
      </c>
      <c r="AC480" t="n">
        <v>1</v>
      </c>
      <c r="AD480" t="n">
        <v>10</v>
      </c>
      <c r="AE480" t="n">
        <v>11</v>
      </c>
      <c r="AF480" t="n">
        <v>3</v>
      </c>
      <c r="AG480" t="n">
        <v>4</v>
      </c>
      <c r="AH480" t="n">
        <v>3</v>
      </c>
      <c r="AI480" t="n">
        <v>3</v>
      </c>
      <c r="AJ480" t="n">
        <v>5</v>
      </c>
      <c r="AK480" t="n">
        <v>6</v>
      </c>
      <c r="AL480" t="n">
        <v>0</v>
      </c>
      <c r="AM480" t="n">
        <v>0</v>
      </c>
      <c r="AN480" t="n">
        <v>0</v>
      </c>
      <c r="AO480" t="n">
        <v>0</v>
      </c>
      <c r="AP480" t="inlineStr">
        <is>
          <t>No</t>
        </is>
      </c>
      <c r="AQ480" t="inlineStr">
        <is>
          <t>Yes</t>
        </is>
      </c>
      <c r="AR480">
        <f>HYPERLINK("http://catalog.hathitrust.org/Record/000905734","HathiTrust Record")</f>
        <v/>
      </c>
      <c r="AS480">
        <f>HYPERLINK("https://creighton-primo.hosted.exlibrisgroup.com/primo-explore/search?tab=default_tab&amp;search_scope=EVERYTHING&amp;vid=01CRU&amp;lang=en_US&amp;offset=0&amp;query=any,contains,991001188909702656","Catalog Record")</f>
        <v/>
      </c>
      <c r="AT480">
        <f>HYPERLINK("http://www.worldcat.org/oclc/17234131","WorldCat Record")</f>
        <v/>
      </c>
      <c r="AU480" t="inlineStr">
        <is>
          <t>1240862384:eng</t>
        </is>
      </c>
      <c r="AV480" t="inlineStr">
        <is>
          <t>17234131</t>
        </is>
      </c>
      <c r="AW480" t="inlineStr">
        <is>
          <t>991001188909702656</t>
        </is>
      </c>
      <c r="AX480" t="inlineStr">
        <is>
          <t>991001188909702656</t>
        </is>
      </c>
      <c r="AY480" t="inlineStr">
        <is>
          <t>2271829980002656</t>
        </is>
      </c>
      <c r="AZ480" t="inlineStr">
        <is>
          <t>BOOK</t>
        </is>
      </c>
      <c r="BB480" t="inlineStr">
        <is>
          <t>9780306427893</t>
        </is>
      </c>
      <c r="BC480" t="inlineStr">
        <is>
          <t>32285001515716</t>
        </is>
      </c>
      <c r="BD480" t="inlineStr">
        <is>
          <t>893432669</t>
        </is>
      </c>
    </row>
    <row r="481">
      <c r="A481" t="inlineStr">
        <is>
          <t>No</t>
        </is>
      </c>
      <c r="B481" t="inlineStr">
        <is>
          <t>QD181.P1 E45 1976b</t>
        </is>
      </c>
      <c r="C481" t="inlineStr">
        <is>
          <t>0                      QD 0181000P  1                  E  45          1976b</t>
        </is>
      </c>
      <c r="D481" t="inlineStr">
        <is>
          <t>The chemistry of phosphorus : environmental, organic, inorganic, biochemical and spectroscopic aspects / [by] John Emsley &amp; Dennis Hall.</t>
        </is>
      </c>
      <c r="F481" t="inlineStr">
        <is>
          <t>No</t>
        </is>
      </c>
      <c r="G481" t="inlineStr">
        <is>
          <t>1</t>
        </is>
      </c>
      <c r="H481" t="inlineStr">
        <is>
          <t>No</t>
        </is>
      </c>
      <c r="I481" t="inlineStr">
        <is>
          <t>No</t>
        </is>
      </c>
      <c r="J481" t="inlineStr">
        <is>
          <t>0</t>
        </is>
      </c>
      <c r="K481" t="inlineStr">
        <is>
          <t>Emsley, John.</t>
        </is>
      </c>
      <c r="L481" t="inlineStr">
        <is>
          <t>London ; New York : Harper and Row, 1976.</t>
        </is>
      </c>
      <c r="M481" t="inlineStr">
        <is>
          <t>1976</t>
        </is>
      </c>
      <c r="O481" t="inlineStr">
        <is>
          <t>eng</t>
        </is>
      </c>
      <c r="P481" t="inlineStr">
        <is>
          <t>enk</t>
        </is>
      </c>
      <c r="R481" t="inlineStr">
        <is>
          <t xml:space="preserve">QD </t>
        </is>
      </c>
      <c r="S481" t="n">
        <v>5</v>
      </c>
      <c r="T481" t="n">
        <v>5</v>
      </c>
      <c r="U481" t="inlineStr">
        <is>
          <t>1998-12-05</t>
        </is>
      </c>
      <c r="V481" t="inlineStr">
        <is>
          <t>1998-12-05</t>
        </is>
      </c>
      <c r="W481" t="inlineStr">
        <is>
          <t>1994-12-14</t>
        </is>
      </c>
      <c r="X481" t="inlineStr">
        <is>
          <t>1994-12-14</t>
        </is>
      </c>
      <c r="Y481" t="n">
        <v>282</v>
      </c>
      <c r="Z481" t="n">
        <v>160</v>
      </c>
      <c r="AA481" t="n">
        <v>426</v>
      </c>
      <c r="AB481" t="n">
        <v>2</v>
      </c>
      <c r="AC481" t="n">
        <v>5</v>
      </c>
      <c r="AD481" t="n">
        <v>11</v>
      </c>
      <c r="AE481" t="n">
        <v>22</v>
      </c>
      <c r="AF481" t="n">
        <v>5</v>
      </c>
      <c r="AG481" t="n">
        <v>10</v>
      </c>
      <c r="AH481" t="n">
        <v>2</v>
      </c>
      <c r="AI481" t="n">
        <v>4</v>
      </c>
      <c r="AJ481" t="n">
        <v>7</v>
      </c>
      <c r="AK481" t="n">
        <v>10</v>
      </c>
      <c r="AL481" t="n">
        <v>1</v>
      </c>
      <c r="AM481" t="n">
        <v>4</v>
      </c>
      <c r="AN481" t="n">
        <v>0</v>
      </c>
      <c r="AO481" t="n">
        <v>0</v>
      </c>
      <c r="AP481" t="inlineStr">
        <is>
          <t>No</t>
        </is>
      </c>
      <c r="AQ481" t="inlineStr">
        <is>
          <t>Yes</t>
        </is>
      </c>
      <c r="AR481">
        <f>HYPERLINK("http://catalog.hathitrust.org/Record/007962058","HathiTrust Record")</f>
        <v/>
      </c>
      <c r="AS481">
        <f>HYPERLINK("https://creighton-primo.hosted.exlibrisgroup.com/primo-explore/search?tab=default_tab&amp;search_scope=EVERYTHING&amp;vid=01CRU&amp;lang=en_US&amp;offset=0&amp;query=any,contains,991004284009702656","Catalog Record")</f>
        <v/>
      </c>
      <c r="AT481">
        <f>HYPERLINK("http://www.worldcat.org/oclc/2918118","WorldCat Record")</f>
        <v/>
      </c>
      <c r="AU481" t="inlineStr">
        <is>
          <t>2636613:eng</t>
        </is>
      </c>
      <c r="AV481" t="inlineStr">
        <is>
          <t>2918118</t>
        </is>
      </c>
      <c r="AW481" t="inlineStr">
        <is>
          <t>991004284009702656</t>
        </is>
      </c>
      <c r="AX481" t="inlineStr">
        <is>
          <t>991004284009702656</t>
        </is>
      </c>
      <c r="AY481" t="inlineStr">
        <is>
          <t>2269334070002656</t>
        </is>
      </c>
      <c r="AZ481" t="inlineStr">
        <is>
          <t>BOOK</t>
        </is>
      </c>
      <c r="BB481" t="inlineStr">
        <is>
          <t>9780063180420</t>
        </is>
      </c>
      <c r="BC481" t="inlineStr">
        <is>
          <t>32285001982213</t>
        </is>
      </c>
      <c r="BD481" t="inlineStr">
        <is>
          <t>893235287</t>
        </is>
      </c>
    </row>
    <row r="482">
      <c r="A482" t="inlineStr">
        <is>
          <t>No</t>
        </is>
      </c>
      <c r="B482" t="inlineStr">
        <is>
          <t>QD181.P1 T69</t>
        </is>
      </c>
      <c r="C482" t="inlineStr">
        <is>
          <t>0                      QD 0181000P  1                  T  69</t>
        </is>
      </c>
      <c r="D482" t="inlineStr">
        <is>
          <t>Phosphorus chemistry in everyday living / Arthur D. F. Toy.</t>
        </is>
      </c>
      <c r="F482" t="inlineStr">
        <is>
          <t>No</t>
        </is>
      </c>
      <c r="G482" t="inlineStr">
        <is>
          <t>1</t>
        </is>
      </c>
      <c r="H482" t="inlineStr">
        <is>
          <t>No</t>
        </is>
      </c>
      <c r="I482" t="inlineStr">
        <is>
          <t>No</t>
        </is>
      </c>
      <c r="J482" t="inlineStr">
        <is>
          <t>0</t>
        </is>
      </c>
      <c r="K482" t="inlineStr">
        <is>
          <t>Toy, Arthur D. F. (Arthur Dock Fon), 1915-</t>
        </is>
      </c>
      <c r="L482" t="inlineStr">
        <is>
          <t>Washington : American Chemical Society, c1976.</t>
        </is>
      </c>
      <c r="M482" t="inlineStr">
        <is>
          <t>1976</t>
        </is>
      </c>
      <c r="O482" t="inlineStr">
        <is>
          <t>eng</t>
        </is>
      </c>
      <c r="P482" t="inlineStr">
        <is>
          <t>dcu</t>
        </is>
      </c>
      <c r="R482" t="inlineStr">
        <is>
          <t xml:space="preserve">QD </t>
        </is>
      </c>
      <c r="S482" t="n">
        <v>8</v>
      </c>
      <c r="T482" t="n">
        <v>8</v>
      </c>
      <c r="U482" t="inlineStr">
        <is>
          <t>1998-12-05</t>
        </is>
      </c>
      <c r="V482" t="inlineStr">
        <is>
          <t>1998-12-05</t>
        </is>
      </c>
      <c r="W482" t="inlineStr">
        <is>
          <t>1994-12-14</t>
        </is>
      </c>
      <c r="X482" t="inlineStr">
        <is>
          <t>1994-12-14</t>
        </is>
      </c>
      <c r="Y482" t="n">
        <v>322</v>
      </c>
      <c r="Z482" t="n">
        <v>283</v>
      </c>
      <c r="AA482" t="n">
        <v>541</v>
      </c>
      <c r="AB482" t="n">
        <v>5</v>
      </c>
      <c r="AC482" t="n">
        <v>5</v>
      </c>
      <c r="AD482" t="n">
        <v>13</v>
      </c>
      <c r="AE482" t="n">
        <v>24</v>
      </c>
      <c r="AF482" t="n">
        <v>4</v>
      </c>
      <c r="AG482" t="n">
        <v>6</v>
      </c>
      <c r="AH482" t="n">
        <v>1</v>
      </c>
      <c r="AI482" t="n">
        <v>5</v>
      </c>
      <c r="AJ482" t="n">
        <v>6</v>
      </c>
      <c r="AK482" t="n">
        <v>14</v>
      </c>
      <c r="AL482" t="n">
        <v>4</v>
      </c>
      <c r="AM482" t="n">
        <v>4</v>
      </c>
      <c r="AN482" t="n">
        <v>0</v>
      </c>
      <c r="AO482" t="n">
        <v>0</v>
      </c>
      <c r="AP482" t="inlineStr">
        <is>
          <t>No</t>
        </is>
      </c>
      <c r="AQ482" t="inlineStr">
        <is>
          <t>Yes</t>
        </is>
      </c>
      <c r="AR482">
        <f>HYPERLINK("http://catalog.hathitrust.org/Record/000783366","HathiTrust Record")</f>
        <v/>
      </c>
      <c r="AS482">
        <f>HYPERLINK("https://creighton-primo.hosted.exlibrisgroup.com/primo-explore/search?tab=default_tab&amp;search_scope=EVERYTHING&amp;vid=01CRU&amp;lang=en_US&amp;offset=0&amp;query=any,contains,991003962559702656","Catalog Record")</f>
        <v/>
      </c>
      <c r="AT482">
        <f>HYPERLINK("http://www.worldcat.org/oclc/1976076","WorldCat Record")</f>
        <v/>
      </c>
      <c r="AU482" t="inlineStr">
        <is>
          <t>2744043:eng</t>
        </is>
      </c>
      <c r="AV482" t="inlineStr">
        <is>
          <t>1976076</t>
        </is>
      </c>
      <c r="AW482" t="inlineStr">
        <is>
          <t>991003962559702656</t>
        </is>
      </c>
      <c r="AX482" t="inlineStr">
        <is>
          <t>991003962559702656</t>
        </is>
      </c>
      <c r="AY482" t="inlineStr">
        <is>
          <t>2266593430002656</t>
        </is>
      </c>
      <c r="AZ482" t="inlineStr">
        <is>
          <t>BOOK</t>
        </is>
      </c>
      <c r="BB482" t="inlineStr">
        <is>
          <t>9780841202931</t>
        </is>
      </c>
      <c r="BC482" t="inlineStr">
        <is>
          <t>32285001982189</t>
        </is>
      </c>
      <c r="BD482" t="inlineStr">
        <is>
          <t>893519091</t>
        </is>
      </c>
    </row>
    <row r="483">
      <c r="A483" t="inlineStr">
        <is>
          <t>No</t>
        </is>
      </c>
      <c r="B483" t="inlineStr">
        <is>
          <t>QD181.P9 B47 2007</t>
        </is>
      </c>
      <c r="C483" t="inlineStr">
        <is>
          <t>0                      QD 0181000P  9                  B  47          2007</t>
        </is>
      </c>
      <c r="D483" t="inlineStr">
        <is>
          <t>Plutonium : a history of the world's most dangerous element / Jeremy Bernstein.</t>
        </is>
      </c>
      <c r="F483" t="inlineStr">
        <is>
          <t>No</t>
        </is>
      </c>
      <c r="G483" t="inlineStr">
        <is>
          <t>1</t>
        </is>
      </c>
      <c r="H483" t="inlineStr">
        <is>
          <t>No</t>
        </is>
      </c>
      <c r="I483" t="inlineStr">
        <is>
          <t>No</t>
        </is>
      </c>
      <c r="J483" t="inlineStr">
        <is>
          <t>0</t>
        </is>
      </c>
      <c r="K483" t="inlineStr">
        <is>
          <t>Bernstein, Jeremy, 1929-</t>
        </is>
      </c>
      <c r="L483" t="inlineStr">
        <is>
          <t>Washington, D.C. : Joseph Henry Press, c2007.</t>
        </is>
      </c>
      <c r="M483" t="inlineStr">
        <is>
          <t>2007</t>
        </is>
      </c>
      <c r="O483" t="inlineStr">
        <is>
          <t>eng</t>
        </is>
      </c>
      <c r="P483" t="inlineStr">
        <is>
          <t>dcu</t>
        </is>
      </c>
      <c r="R483" t="inlineStr">
        <is>
          <t xml:space="preserve">QD </t>
        </is>
      </c>
      <c r="S483" t="n">
        <v>3</v>
      </c>
      <c r="T483" t="n">
        <v>3</v>
      </c>
      <c r="U483" t="inlineStr">
        <is>
          <t>2009-04-15</t>
        </is>
      </c>
      <c r="V483" t="inlineStr">
        <is>
          <t>2009-04-15</t>
        </is>
      </c>
      <c r="W483" t="inlineStr">
        <is>
          <t>2007-07-16</t>
        </is>
      </c>
      <c r="X483" t="inlineStr">
        <is>
          <t>2007-07-16</t>
        </is>
      </c>
      <c r="Y483" t="n">
        <v>1068</v>
      </c>
      <c r="Z483" t="n">
        <v>980</v>
      </c>
      <c r="AA483" t="n">
        <v>1415</v>
      </c>
      <c r="AB483" t="n">
        <v>8</v>
      </c>
      <c r="AC483" t="n">
        <v>11</v>
      </c>
      <c r="AD483" t="n">
        <v>24</v>
      </c>
      <c r="AE483" t="n">
        <v>38</v>
      </c>
      <c r="AF483" t="n">
        <v>11</v>
      </c>
      <c r="AG483" t="n">
        <v>15</v>
      </c>
      <c r="AH483" t="n">
        <v>3</v>
      </c>
      <c r="AI483" t="n">
        <v>6</v>
      </c>
      <c r="AJ483" t="n">
        <v>8</v>
      </c>
      <c r="AK483" t="n">
        <v>13</v>
      </c>
      <c r="AL483" t="n">
        <v>6</v>
      </c>
      <c r="AM483" t="n">
        <v>9</v>
      </c>
      <c r="AN483" t="n">
        <v>0</v>
      </c>
      <c r="AO483" t="n">
        <v>1</v>
      </c>
      <c r="AP483" t="inlineStr">
        <is>
          <t>No</t>
        </is>
      </c>
      <c r="AQ483" t="inlineStr">
        <is>
          <t>No</t>
        </is>
      </c>
      <c r="AS483">
        <f>HYPERLINK("https://creighton-primo.hosted.exlibrisgroup.com/primo-explore/search?tab=default_tab&amp;search_scope=EVERYTHING&amp;vid=01CRU&amp;lang=en_US&amp;offset=0&amp;query=any,contains,991005097169702656","Catalog Record")</f>
        <v/>
      </c>
      <c r="AT483">
        <f>HYPERLINK("http://www.worldcat.org/oclc/76481517","WorldCat Record")</f>
        <v/>
      </c>
      <c r="AU483" t="inlineStr">
        <is>
          <t>4915841335:eng</t>
        </is>
      </c>
      <c r="AV483" t="inlineStr">
        <is>
          <t>76481517</t>
        </is>
      </c>
      <c r="AW483" t="inlineStr">
        <is>
          <t>991005097169702656</t>
        </is>
      </c>
      <c r="AX483" t="inlineStr">
        <is>
          <t>991005097169702656</t>
        </is>
      </c>
      <c r="AY483" t="inlineStr">
        <is>
          <t>2257935820002656</t>
        </is>
      </c>
      <c r="AZ483" t="inlineStr">
        <is>
          <t>BOOK</t>
        </is>
      </c>
      <c r="BB483" t="inlineStr">
        <is>
          <t>9780309102964</t>
        </is>
      </c>
      <c r="BC483" t="inlineStr">
        <is>
          <t>32285005319594</t>
        </is>
      </c>
      <c r="BD483" t="inlineStr">
        <is>
          <t>893533164</t>
        </is>
      </c>
    </row>
    <row r="484">
      <c r="A484" t="inlineStr">
        <is>
          <t>No</t>
        </is>
      </c>
      <c r="B484" t="inlineStr">
        <is>
          <t>QD181.S1 F78</t>
        </is>
      </c>
      <c r="C484" t="inlineStr">
        <is>
          <t>0                      QD 0181000S  1                  F  78</t>
        </is>
      </c>
      <c r="D484" t="inlineStr">
        <is>
          <t>The sulphur data book / compiled by the technical staff ; edited by William N. Tuller, superintendent of laboratories.</t>
        </is>
      </c>
      <c r="F484" t="inlineStr">
        <is>
          <t>No</t>
        </is>
      </c>
      <c r="G484" t="inlineStr">
        <is>
          <t>1</t>
        </is>
      </c>
      <c r="H484" t="inlineStr">
        <is>
          <t>No</t>
        </is>
      </c>
      <c r="I484" t="inlineStr">
        <is>
          <t>No</t>
        </is>
      </c>
      <c r="J484" t="inlineStr">
        <is>
          <t>0</t>
        </is>
      </c>
      <c r="K484" t="inlineStr">
        <is>
          <t>Freeport Sulphur Company.</t>
        </is>
      </c>
      <c r="L484" t="inlineStr">
        <is>
          <t>New York : McGraw-Hill, 1954.</t>
        </is>
      </c>
      <c r="M484" t="inlineStr">
        <is>
          <t>1954</t>
        </is>
      </c>
      <c r="O484" t="inlineStr">
        <is>
          <t>eng</t>
        </is>
      </c>
      <c r="P484" t="inlineStr">
        <is>
          <t>nyu</t>
        </is>
      </c>
      <c r="R484" t="inlineStr">
        <is>
          <t xml:space="preserve">QD </t>
        </is>
      </c>
      <c r="S484" t="n">
        <v>2</v>
      </c>
      <c r="T484" t="n">
        <v>2</v>
      </c>
      <c r="U484" t="inlineStr">
        <is>
          <t>1995-03-30</t>
        </is>
      </c>
      <c r="V484" t="inlineStr">
        <is>
          <t>1995-03-30</t>
        </is>
      </c>
      <c r="W484" t="inlineStr">
        <is>
          <t>1994-12-16</t>
        </is>
      </c>
      <c r="X484" t="inlineStr">
        <is>
          <t>1994-12-16</t>
        </is>
      </c>
      <c r="Y484" t="n">
        <v>324</v>
      </c>
      <c r="Z484" t="n">
        <v>291</v>
      </c>
      <c r="AA484" t="n">
        <v>296</v>
      </c>
      <c r="AB484" t="n">
        <v>2</v>
      </c>
      <c r="AC484" t="n">
        <v>2</v>
      </c>
      <c r="AD484" t="n">
        <v>13</v>
      </c>
      <c r="AE484" t="n">
        <v>13</v>
      </c>
      <c r="AF484" t="n">
        <v>0</v>
      </c>
      <c r="AG484" t="n">
        <v>0</v>
      </c>
      <c r="AH484" t="n">
        <v>4</v>
      </c>
      <c r="AI484" t="n">
        <v>4</v>
      </c>
      <c r="AJ484" t="n">
        <v>9</v>
      </c>
      <c r="AK484" t="n">
        <v>9</v>
      </c>
      <c r="AL484" t="n">
        <v>1</v>
      </c>
      <c r="AM484" t="n">
        <v>1</v>
      </c>
      <c r="AN484" t="n">
        <v>0</v>
      </c>
      <c r="AO484" t="n">
        <v>0</v>
      </c>
      <c r="AP484" t="inlineStr">
        <is>
          <t>Yes</t>
        </is>
      </c>
      <c r="AQ484" t="inlineStr">
        <is>
          <t>No</t>
        </is>
      </c>
      <c r="AR484">
        <f>HYPERLINK("http://catalog.hathitrust.org/Record/001033229","HathiTrust Record")</f>
        <v/>
      </c>
      <c r="AS484">
        <f>HYPERLINK("https://creighton-primo.hosted.exlibrisgroup.com/primo-explore/search?tab=default_tab&amp;search_scope=EVERYTHING&amp;vid=01CRU&amp;lang=en_US&amp;offset=0&amp;query=any,contains,991003460369702656","Catalog Record")</f>
        <v/>
      </c>
      <c r="AT484">
        <f>HYPERLINK("http://www.worldcat.org/oclc/1001557","WorldCat Record")</f>
        <v/>
      </c>
      <c r="AU484" t="inlineStr">
        <is>
          <t>4020916259:eng</t>
        </is>
      </c>
      <c r="AV484" t="inlineStr">
        <is>
          <t>1001557</t>
        </is>
      </c>
      <c r="AW484" t="inlineStr">
        <is>
          <t>991003460369702656</t>
        </is>
      </c>
      <c r="AX484" t="inlineStr">
        <is>
          <t>991003460369702656</t>
        </is>
      </c>
      <c r="AY484" t="inlineStr">
        <is>
          <t>2259337560002656</t>
        </is>
      </c>
      <c r="AZ484" t="inlineStr">
        <is>
          <t>BOOK</t>
        </is>
      </c>
      <c r="BC484" t="inlineStr">
        <is>
          <t>32285001983377</t>
        </is>
      </c>
      <c r="BD484" t="inlineStr">
        <is>
          <t>893524825</t>
        </is>
      </c>
    </row>
    <row r="485">
      <c r="A485" t="inlineStr">
        <is>
          <t>No</t>
        </is>
      </c>
      <c r="B485" t="inlineStr">
        <is>
          <t>QD181.S1 M42</t>
        </is>
      </c>
      <c r="C485" t="inlineStr">
        <is>
          <t>0                      QD 0181000S  1                  M  42</t>
        </is>
      </c>
      <c r="D485" t="inlineStr">
        <is>
          <t>Sulfur, energy, and environment / Beat Meyer.</t>
        </is>
      </c>
      <c r="F485" t="inlineStr">
        <is>
          <t>No</t>
        </is>
      </c>
      <c r="G485" t="inlineStr">
        <is>
          <t>1</t>
        </is>
      </c>
      <c r="H485" t="inlineStr">
        <is>
          <t>No</t>
        </is>
      </c>
      <c r="I485" t="inlineStr">
        <is>
          <t>No</t>
        </is>
      </c>
      <c r="J485" t="inlineStr">
        <is>
          <t>0</t>
        </is>
      </c>
      <c r="K485" t="inlineStr">
        <is>
          <t>Meyer, Beat.</t>
        </is>
      </c>
      <c r="L485" t="inlineStr">
        <is>
          <t>Amsterdam ; New York : Elsevier Scientific Pub. Co. ; New York : distributors for the United States and Canada, Elsevier/North-Holland, 1977.</t>
        </is>
      </c>
      <c r="M485" t="inlineStr">
        <is>
          <t>1977</t>
        </is>
      </c>
      <c r="O485" t="inlineStr">
        <is>
          <t>eng</t>
        </is>
      </c>
      <c r="P485" t="inlineStr">
        <is>
          <t xml:space="preserve">ne </t>
        </is>
      </c>
      <c r="R485" t="inlineStr">
        <is>
          <t xml:space="preserve">QD </t>
        </is>
      </c>
      <c r="S485" t="n">
        <v>6</v>
      </c>
      <c r="T485" t="n">
        <v>6</v>
      </c>
      <c r="U485" t="inlineStr">
        <is>
          <t>2001-10-17</t>
        </is>
      </c>
      <c r="V485" t="inlineStr">
        <is>
          <t>2001-10-17</t>
        </is>
      </c>
      <c r="W485" t="inlineStr">
        <is>
          <t>1994-12-08</t>
        </is>
      </c>
      <c r="X485" t="inlineStr">
        <is>
          <t>1994-12-08</t>
        </is>
      </c>
      <c r="Y485" t="n">
        <v>372</v>
      </c>
      <c r="Z485" t="n">
        <v>238</v>
      </c>
      <c r="AA485" t="n">
        <v>281</v>
      </c>
      <c r="AB485" t="n">
        <v>3</v>
      </c>
      <c r="AC485" t="n">
        <v>3</v>
      </c>
      <c r="AD485" t="n">
        <v>8</v>
      </c>
      <c r="AE485" t="n">
        <v>11</v>
      </c>
      <c r="AF485" t="n">
        <v>2</v>
      </c>
      <c r="AG485" t="n">
        <v>4</v>
      </c>
      <c r="AH485" t="n">
        <v>3</v>
      </c>
      <c r="AI485" t="n">
        <v>5</v>
      </c>
      <c r="AJ485" t="n">
        <v>4</v>
      </c>
      <c r="AK485" t="n">
        <v>4</v>
      </c>
      <c r="AL485" t="n">
        <v>2</v>
      </c>
      <c r="AM485" t="n">
        <v>2</v>
      </c>
      <c r="AN485" t="n">
        <v>0</v>
      </c>
      <c r="AO485" t="n">
        <v>0</v>
      </c>
      <c r="AP485" t="inlineStr">
        <is>
          <t>No</t>
        </is>
      </c>
      <c r="AQ485" t="inlineStr">
        <is>
          <t>Yes</t>
        </is>
      </c>
      <c r="AR485">
        <f>HYPERLINK("http://catalog.hathitrust.org/Record/000254253","HathiTrust Record")</f>
        <v/>
      </c>
      <c r="AS485">
        <f>HYPERLINK("https://creighton-primo.hosted.exlibrisgroup.com/primo-explore/search?tab=default_tab&amp;search_scope=EVERYTHING&amp;vid=01CRU&amp;lang=en_US&amp;offset=0&amp;query=any,contains,991004342069702656","Catalog Record")</f>
        <v/>
      </c>
      <c r="AT485">
        <f>HYPERLINK("http://www.worldcat.org/oclc/3089861","WorldCat Record")</f>
        <v/>
      </c>
      <c r="AU485" t="inlineStr">
        <is>
          <t>8106206:eng</t>
        </is>
      </c>
      <c r="AV485" t="inlineStr">
        <is>
          <t>3089861</t>
        </is>
      </c>
      <c r="AW485" t="inlineStr">
        <is>
          <t>991004342069702656</t>
        </is>
      </c>
      <c r="AX485" t="inlineStr">
        <is>
          <t>991004342069702656</t>
        </is>
      </c>
      <c r="AY485" t="inlineStr">
        <is>
          <t>2262892170002656</t>
        </is>
      </c>
      <c r="AZ485" t="inlineStr">
        <is>
          <t>BOOK</t>
        </is>
      </c>
      <c r="BB485" t="inlineStr">
        <is>
          <t>9780444415950</t>
        </is>
      </c>
      <c r="BC485" t="inlineStr">
        <is>
          <t>32285001980563</t>
        </is>
      </c>
      <c r="BD485" t="inlineStr">
        <is>
          <t>893869603</t>
        </is>
      </c>
    </row>
    <row r="486">
      <c r="A486" t="inlineStr">
        <is>
          <t>No</t>
        </is>
      </c>
      <c r="B486" t="inlineStr">
        <is>
          <t>QD181.T6 C55</t>
        </is>
      </c>
      <c r="C486" t="inlineStr">
        <is>
          <t>0                      QD 0181000T  6                  C  55</t>
        </is>
      </c>
      <c r="D486" t="inlineStr">
        <is>
          <t>The chemistry of titanium and vanadium : an introduction to the chemistry of the early transition elements / by R. J. H. Clark.</t>
        </is>
      </c>
      <c r="F486" t="inlineStr">
        <is>
          <t>No</t>
        </is>
      </c>
      <c r="G486" t="inlineStr">
        <is>
          <t>1</t>
        </is>
      </c>
      <c r="H486" t="inlineStr">
        <is>
          <t>No</t>
        </is>
      </c>
      <c r="I486" t="inlineStr">
        <is>
          <t>No</t>
        </is>
      </c>
      <c r="J486" t="inlineStr">
        <is>
          <t>0</t>
        </is>
      </c>
      <c r="K486" t="inlineStr">
        <is>
          <t>Clark, R. J. H. (Robin Jon Hawes)</t>
        </is>
      </c>
      <c r="L486" t="inlineStr">
        <is>
          <t>Amsterdam ; New York : Elsevier Pub. Co., 1968.</t>
        </is>
      </c>
      <c r="M486" t="inlineStr">
        <is>
          <t>1968</t>
        </is>
      </c>
      <c r="O486" t="inlineStr">
        <is>
          <t>eng</t>
        </is>
      </c>
      <c r="P486" t="inlineStr">
        <is>
          <t xml:space="preserve">ne </t>
        </is>
      </c>
      <c r="Q486" t="inlineStr">
        <is>
          <t>Topics in inorganic and general chemistry ; monograph 11</t>
        </is>
      </c>
      <c r="R486" t="inlineStr">
        <is>
          <t xml:space="preserve">QD </t>
        </is>
      </c>
      <c r="S486" t="n">
        <v>2</v>
      </c>
      <c r="T486" t="n">
        <v>2</v>
      </c>
      <c r="U486" t="inlineStr">
        <is>
          <t>1999-01-21</t>
        </is>
      </c>
      <c r="V486" t="inlineStr">
        <is>
          <t>1999-01-21</t>
        </is>
      </c>
      <c r="W486" t="inlineStr">
        <is>
          <t>1995-01-27</t>
        </is>
      </c>
      <c r="X486" t="inlineStr">
        <is>
          <t>1995-01-27</t>
        </is>
      </c>
      <c r="Y486" t="n">
        <v>450</v>
      </c>
      <c r="Z486" t="n">
        <v>319</v>
      </c>
      <c r="AA486" t="n">
        <v>321</v>
      </c>
      <c r="AB486" t="n">
        <v>2</v>
      </c>
      <c r="AC486" t="n">
        <v>2</v>
      </c>
      <c r="AD486" t="n">
        <v>8</v>
      </c>
      <c r="AE486" t="n">
        <v>8</v>
      </c>
      <c r="AF486" t="n">
        <v>1</v>
      </c>
      <c r="AG486" t="n">
        <v>1</v>
      </c>
      <c r="AH486" t="n">
        <v>2</v>
      </c>
      <c r="AI486" t="n">
        <v>2</v>
      </c>
      <c r="AJ486" t="n">
        <v>5</v>
      </c>
      <c r="AK486" t="n">
        <v>5</v>
      </c>
      <c r="AL486" t="n">
        <v>1</v>
      </c>
      <c r="AM486" t="n">
        <v>1</v>
      </c>
      <c r="AN486" t="n">
        <v>0</v>
      </c>
      <c r="AO486" t="n">
        <v>0</v>
      </c>
      <c r="AP486" t="inlineStr">
        <is>
          <t>No</t>
        </is>
      </c>
      <c r="AQ486" t="inlineStr">
        <is>
          <t>Yes</t>
        </is>
      </c>
      <c r="AR486">
        <f>HYPERLINK("http://catalog.hathitrust.org/Record/001113633","HathiTrust Record")</f>
        <v/>
      </c>
      <c r="AS486">
        <f>HYPERLINK("https://creighton-primo.hosted.exlibrisgroup.com/primo-explore/search?tab=default_tab&amp;search_scope=EVERYTHING&amp;vid=01CRU&amp;lang=en_US&amp;offset=0&amp;query=any,contains,991002008699702656","Catalog Record")</f>
        <v/>
      </c>
      <c r="AT486">
        <f>HYPERLINK("http://www.worldcat.org/oclc/258745","WorldCat Record")</f>
        <v/>
      </c>
      <c r="AU486" t="inlineStr">
        <is>
          <t>1363653:eng</t>
        </is>
      </c>
      <c r="AV486" t="inlineStr">
        <is>
          <t>258745</t>
        </is>
      </c>
      <c r="AW486" t="inlineStr">
        <is>
          <t>991002008699702656</t>
        </is>
      </c>
      <c r="AX486" t="inlineStr">
        <is>
          <t>991002008699702656</t>
        </is>
      </c>
      <c r="AY486" t="inlineStr">
        <is>
          <t>2271459930002656</t>
        </is>
      </c>
      <c r="AZ486" t="inlineStr">
        <is>
          <t>BOOK</t>
        </is>
      </c>
      <c r="BC486" t="inlineStr">
        <is>
          <t>32285001988137</t>
        </is>
      </c>
      <c r="BD486" t="inlineStr">
        <is>
          <t>893779318</t>
        </is>
      </c>
    </row>
    <row r="487">
      <c r="A487" t="inlineStr">
        <is>
          <t>No</t>
        </is>
      </c>
      <c r="B487" t="inlineStr">
        <is>
          <t>QD181.U7 D4 1945</t>
        </is>
      </c>
      <c r="C487" t="inlineStr">
        <is>
          <t>0                      QD 0181000U  7                  D  4           1945</t>
        </is>
      </c>
      <c r="D487" t="inlineStr">
        <is>
          <t>Uranium and atomic power, by Jack De Ment ... and H.C. Dake ... with appendix on the atomic bomb.</t>
        </is>
      </c>
      <c r="F487" t="inlineStr">
        <is>
          <t>No</t>
        </is>
      </c>
      <c r="G487" t="inlineStr">
        <is>
          <t>1</t>
        </is>
      </c>
      <c r="H487" t="inlineStr">
        <is>
          <t>No</t>
        </is>
      </c>
      <c r="I487" t="inlineStr">
        <is>
          <t>No</t>
        </is>
      </c>
      <c r="J487" t="inlineStr">
        <is>
          <t>0</t>
        </is>
      </c>
      <c r="K487" t="inlineStr">
        <is>
          <t>De Ment, Jack, 1920-1992.</t>
        </is>
      </c>
      <c r="L487" t="inlineStr">
        <is>
          <t>Brooklyn, N.Y., Chemical publishing co., inc., 1945.</t>
        </is>
      </c>
      <c r="M487" t="inlineStr">
        <is>
          <t>1945</t>
        </is>
      </c>
      <c r="O487" t="inlineStr">
        <is>
          <t>eng</t>
        </is>
      </c>
      <c r="P487" t="inlineStr">
        <is>
          <t>nyu</t>
        </is>
      </c>
      <c r="R487" t="inlineStr">
        <is>
          <t xml:space="preserve">QD </t>
        </is>
      </c>
      <c r="S487" t="n">
        <v>2</v>
      </c>
      <c r="T487" t="n">
        <v>2</v>
      </c>
      <c r="U487" t="inlineStr">
        <is>
          <t>2006-04-02</t>
        </is>
      </c>
      <c r="V487" t="inlineStr">
        <is>
          <t>2006-04-02</t>
        </is>
      </c>
      <c r="W487" t="inlineStr">
        <is>
          <t>1997-06-10</t>
        </is>
      </c>
      <c r="X487" t="inlineStr">
        <is>
          <t>1997-06-10</t>
        </is>
      </c>
      <c r="Y487" t="n">
        <v>264</v>
      </c>
      <c r="Z487" t="n">
        <v>225</v>
      </c>
      <c r="AA487" t="n">
        <v>266</v>
      </c>
      <c r="AB487" t="n">
        <v>4</v>
      </c>
      <c r="AC487" t="n">
        <v>4</v>
      </c>
      <c r="AD487" t="n">
        <v>10</v>
      </c>
      <c r="AE487" t="n">
        <v>11</v>
      </c>
      <c r="AF487" t="n">
        <v>4</v>
      </c>
      <c r="AG487" t="n">
        <v>5</v>
      </c>
      <c r="AH487" t="n">
        <v>1</v>
      </c>
      <c r="AI487" t="n">
        <v>1</v>
      </c>
      <c r="AJ487" t="n">
        <v>3</v>
      </c>
      <c r="AK487" t="n">
        <v>3</v>
      </c>
      <c r="AL487" t="n">
        <v>3</v>
      </c>
      <c r="AM487" t="n">
        <v>3</v>
      </c>
      <c r="AN487" t="n">
        <v>0</v>
      </c>
      <c r="AO487" t="n">
        <v>0</v>
      </c>
      <c r="AP487" t="inlineStr">
        <is>
          <t>Yes</t>
        </is>
      </c>
      <c r="AQ487" t="inlineStr">
        <is>
          <t>No</t>
        </is>
      </c>
      <c r="AR487">
        <f>HYPERLINK("http://catalog.hathitrust.org/Record/001033266","HathiTrust Record")</f>
        <v/>
      </c>
      <c r="AS487">
        <f>HYPERLINK("https://creighton-primo.hosted.exlibrisgroup.com/primo-explore/search?tab=default_tab&amp;search_scope=EVERYTHING&amp;vid=01CRU&amp;lang=en_US&amp;offset=0&amp;query=any,contains,991002795799702656","Catalog Record")</f>
        <v/>
      </c>
      <c r="AT487">
        <f>HYPERLINK("http://www.worldcat.org/oclc/445181","WorldCat Record")</f>
        <v/>
      </c>
      <c r="AU487" t="inlineStr">
        <is>
          <t>1579010:eng</t>
        </is>
      </c>
      <c r="AV487" t="inlineStr">
        <is>
          <t>445181</t>
        </is>
      </c>
      <c r="AW487" t="inlineStr">
        <is>
          <t>991002795799702656</t>
        </is>
      </c>
      <c r="AX487" t="inlineStr">
        <is>
          <t>991002795799702656</t>
        </is>
      </c>
      <c r="AY487" t="inlineStr">
        <is>
          <t>2265549530002656</t>
        </is>
      </c>
      <c r="AZ487" t="inlineStr">
        <is>
          <t>BOOK</t>
        </is>
      </c>
      <c r="BC487" t="inlineStr">
        <is>
          <t>32285002792835</t>
        </is>
      </c>
      <c r="BD487" t="inlineStr">
        <is>
          <t>893867721</t>
        </is>
      </c>
    </row>
    <row r="488">
      <c r="A488" t="inlineStr">
        <is>
          <t>No</t>
        </is>
      </c>
      <c r="B488" t="inlineStr">
        <is>
          <t>QD189 .I58 1981</t>
        </is>
      </c>
      <c r="C488" t="inlineStr">
        <is>
          <t>0                      QD 0189000I  58          1981</t>
        </is>
      </c>
      <c r="D488" t="inlineStr">
        <is>
          <t>Ionic liquids / edited by Douglas Inman and David G. Lovering.</t>
        </is>
      </c>
      <c r="F488" t="inlineStr">
        <is>
          <t>No</t>
        </is>
      </c>
      <c r="G488" t="inlineStr">
        <is>
          <t>1</t>
        </is>
      </c>
      <c r="H488" t="inlineStr">
        <is>
          <t>No</t>
        </is>
      </c>
      <c r="I488" t="inlineStr">
        <is>
          <t>No</t>
        </is>
      </c>
      <c r="J488" t="inlineStr">
        <is>
          <t>0</t>
        </is>
      </c>
      <c r="L488" t="inlineStr">
        <is>
          <t>New York : Plenum Press, c1981.</t>
        </is>
      </c>
      <c r="M488" t="inlineStr">
        <is>
          <t>1981</t>
        </is>
      </c>
      <c r="O488" t="inlineStr">
        <is>
          <t>eng</t>
        </is>
      </c>
      <c r="P488" t="inlineStr">
        <is>
          <t>nyu</t>
        </is>
      </c>
      <c r="R488" t="inlineStr">
        <is>
          <t xml:space="preserve">QD </t>
        </is>
      </c>
      <c r="S488" t="n">
        <v>1</v>
      </c>
      <c r="T488" t="n">
        <v>1</v>
      </c>
      <c r="U488" t="inlineStr">
        <is>
          <t>2006-07-03</t>
        </is>
      </c>
      <c r="V488" t="inlineStr">
        <is>
          <t>2006-07-03</t>
        </is>
      </c>
      <c r="W488" t="inlineStr">
        <is>
          <t>1993-01-25</t>
        </is>
      </c>
      <c r="X488" t="inlineStr">
        <is>
          <t>1993-01-25</t>
        </is>
      </c>
      <c r="Y488" t="n">
        <v>267</v>
      </c>
      <c r="Z488" t="n">
        <v>174</v>
      </c>
      <c r="AA488" t="n">
        <v>203</v>
      </c>
      <c r="AB488" t="n">
        <v>3</v>
      </c>
      <c r="AC488" t="n">
        <v>3</v>
      </c>
      <c r="AD488" t="n">
        <v>5</v>
      </c>
      <c r="AE488" t="n">
        <v>6</v>
      </c>
      <c r="AF488" t="n">
        <v>0</v>
      </c>
      <c r="AG488" t="n">
        <v>1</v>
      </c>
      <c r="AH488" t="n">
        <v>1</v>
      </c>
      <c r="AI488" t="n">
        <v>1</v>
      </c>
      <c r="AJ488" t="n">
        <v>3</v>
      </c>
      <c r="AK488" t="n">
        <v>4</v>
      </c>
      <c r="AL488" t="n">
        <v>2</v>
      </c>
      <c r="AM488" t="n">
        <v>2</v>
      </c>
      <c r="AN488" t="n">
        <v>0</v>
      </c>
      <c r="AO488" t="n">
        <v>0</v>
      </c>
      <c r="AP488" t="inlineStr">
        <is>
          <t>No</t>
        </is>
      </c>
      <c r="AQ488" t="inlineStr">
        <is>
          <t>Yes</t>
        </is>
      </c>
      <c r="AR488">
        <f>HYPERLINK("http://catalog.hathitrust.org/Record/000735768","HathiTrust Record")</f>
        <v/>
      </c>
      <c r="AS488">
        <f>HYPERLINK("https://creighton-primo.hosted.exlibrisgroup.com/primo-explore/search?tab=default_tab&amp;search_scope=EVERYTHING&amp;vid=01CRU&amp;lang=en_US&amp;offset=0&amp;query=any,contains,991004961129702656","Catalog Record")</f>
        <v/>
      </c>
      <c r="AT488">
        <f>HYPERLINK("http://www.worldcat.org/oclc/6305104","WorldCat Record")</f>
        <v/>
      </c>
      <c r="AU488" t="inlineStr">
        <is>
          <t>350783621:eng</t>
        </is>
      </c>
      <c r="AV488" t="inlineStr">
        <is>
          <t>6305104</t>
        </is>
      </c>
      <c r="AW488" t="inlineStr">
        <is>
          <t>991004961129702656</t>
        </is>
      </c>
      <c r="AX488" t="inlineStr">
        <is>
          <t>991004961129702656</t>
        </is>
      </c>
      <c r="AY488" t="inlineStr">
        <is>
          <t>2259035780002656</t>
        </is>
      </c>
      <c r="AZ488" t="inlineStr">
        <is>
          <t>BOOK</t>
        </is>
      </c>
      <c r="BB488" t="inlineStr">
        <is>
          <t>9780306404122</t>
        </is>
      </c>
      <c r="BC488" t="inlineStr">
        <is>
          <t>32285001515724</t>
        </is>
      </c>
      <c r="BD488" t="inlineStr">
        <is>
          <t>893594292</t>
        </is>
      </c>
    </row>
    <row r="489">
      <c r="A489" t="inlineStr">
        <is>
          <t>No</t>
        </is>
      </c>
      <c r="B489" t="inlineStr">
        <is>
          <t>QD189 .S8</t>
        </is>
      </c>
      <c r="C489" t="inlineStr">
        <is>
          <t>0                      QD 0189000S  8</t>
        </is>
      </c>
      <c r="D489" t="inlineStr">
        <is>
          <t>Fused salts.</t>
        </is>
      </c>
      <c r="F489" t="inlineStr">
        <is>
          <t>No</t>
        </is>
      </c>
      <c r="G489" t="inlineStr">
        <is>
          <t>1</t>
        </is>
      </c>
      <c r="H489" t="inlineStr">
        <is>
          <t>No</t>
        </is>
      </c>
      <c r="I489" t="inlineStr">
        <is>
          <t>No</t>
        </is>
      </c>
      <c r="J489" t="inlineStr">
        <is>
          <t>0</t>
        </is>
      </c>
      <c r="K489" t="inlineStr">
        <is>
          <t>Sundheim, Benson Ross, editor.</t>
        </is>
      </c>
      <c r="L489" t="inlineStr">
        <is>
          <t>New York, McGraw-Hill [1964]</t>
        </is>
      </c>
      <c r="M489" t="inlineStr">
        <is>
          <t>1964</t>
        </is>
      </c>
      <c r="O489" t="inlineStr">
        <is>
          <t>eng</t>
        </is>
      </c>
      <c r="P489" t="inlineStr">
        <is>
          <t>nyu</t>
        </is>
      </c>
      <c r="Q489" t="inlineStr">
        <is>
          <t>McGraw-Hill series in advanced chemistry</t>
        </is>
      </c>
      <c r="R489" t="inlineStr">
        <is>
          <t xml:space="preserve">QD </t>
        </is>
      </c>
      <c r="S489" t="n">
        <v>1</v>
      </c>
      <c r="T489" t="n">
        <v>1</v>
      </c>
      <c r="U489" t="inlineStr">
        <is>
          <t>2006-07-03</t>
        </is>
      </c>
      <c r="V489" t="inlineStr">
        <is>
          <t>2006-07-03</t>
        </is>
      </c>
      <c r="W489" t="inlineStr">
        <is>
          <t>1997-06-10</t>
        </is>
      </c>
      <c r="X489" t="inlineStr">
        <is>
          <t>1997-06-10</t>
        </is>
      </c>
      <c r="Y489" t="n">
        <v>295</v>
      </c>
      <c r="Z489" t="n">
        <v>201</v>
      </c>
      <c r="AA489" t="n">
        <v>202</v>
      </c>
      <c r="AB489" t="n">
        <v>3</v>
      </c>
      <c r="AC489" t="n">
        <v>3</v>
      </c>
      <c r="AD489" t="n">
        <v>13</v>
      </c>
      <c r="AE489" t="n">
        <v>13</v>
      </c>
      <c r="AF489" t="n">
        <v>3</v>
      </c>
      <c r="AG489" t="n">
        <v>3</v>
      </c>
      <c r="AH489" t="n">
        <v>2</v>
      </c>
      <c r="AI489" t="n">
        <v>2</v>
      </c>
      <c r="AJ489" t="n">
        <v>8</v>
      </c>
      <c r="AK489" t="n">
        <v>8</v>
      </c>
      <c r="AL489" t="n">
        <v>2</v>
      </c>
      <c r="AM489" t="n">
        <v>2</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HYPERLINK("https://creighton-primo.hosted.exlibrisgroup.com/primo-explore/search?tab=default_tab&amp;search_scope=EVERYTHING&amp;vid=01CRU&amp;lang=en_US&amp;offset=0&amp;query=any,contains,991004109499702656","Catalog Record")</f>
        <v/>
      </c>
      <c r="AT489">
        <f>HYPERLINK("http://www.worldcat.org/oclc/2392103","WorldCat Record")</f>
        <v/>
      </c>
      <c r="AU489" t="inlineStr">
        <is>
          <t>147794694:eng</t>
        </is>
      </c>
      <c r="AV489" t="inlineStr">
        <is>
          <t>2392103</t>
        </is>
      </c>
      <c r="AW489" t="inlineStr">
        <is>
          <t>991004109499702656</t>
        </is>
      </c>
      <c r="AX489" t="inlineStr">
        <is>
          <t>991004109499702656</t>
        </is>
      </c>
      <c r="AY489" t="inlineStr">
        <is>
          <t>2268837310002656</t>
        </is>
      </c>
      <c r="AZ489" t="inlineStr">
        <is>
          <t>BOOK</t>
        </is>
      </c>
      <c r="BC489" t="inlineStr">
        <is>
          <t>32285002792884</t>
        </is>
      </c>
      <c r="BD489" t="inlineStr">
        <is>
          <t>893512817</t>
        </is>
      </c>
    </row>
    <row r="490">
      <c r="A490" t="inlineStr">
        <is>
          <t>No</t>
        </is>
      </c>
      <c r="B490" t="inlineStr">
        <is>
          <t>QD196 .I537 1992</t>
        </is>
      </c>
      <c r="C490" t="inlineStr">
        <is>
          <t>0                      QD 0196000I  537         1992</t>
        </is>
      </c>
      <c r="D490" t="inlineStr">
        <is>
          <t>Inorganic and organometallic polymers with special properties / edited by Richard M. Laine.</t>
        </is>
      </c>
      <c r="F490" t="inlineStr">
        <is>
          <t>No</t>
        </is>
      </c>
      <c r="G490" t="inlineStr">
        <is>
          <t>1</t>
        </is>
      </c>
      <c r="H490" t="inlineStr">
        <is>
          <t>No</t>
        </is>
      </c>
      <c r="I490" t="inlineStr">
        <is>
          <t>No</t>
        </is>
      </c>
      <c r="J490" t="inlineStr">
        <is>
          <t>0</t>
        </is>
      </c>
      <c r="L490" t="inlineStr">
        <is>
          <t>Dordrecht ; Boston : Kluwer, 1992.</t>
        </is>
      </c>
      <c r="M490" t="inlineStr">
        <is>
          <t>1992</t>
        </is>
      </c>
      <c r="O490" t="inlineStr">
        <is>
          <t>eng</t>
        </is>
      </c>
      <c r="P490" t="inlineStr">
        <is>
          <t xml:space="preserve">ne </t>
        </is>
      </c>
      <c r="Q490" t="inlineStr">
        <is>
          <t>NATO ASI series. Series E, Applied sciences ; vol. 206</t>
        </is>
      </c>
      <c r="R490" t="inlineStr">
        <is>
          <t xml:space="preserve">QD </t>
        </is>
      </c>
      <c r="S490" t="n">
        <v>2</v>
      </c>
      <c r="T490" t="n">
        <v>2</v>
      </c>
      <c r="U490" t="inlineStr">
        <is>
          <t>1999-11-28</t>
        </is>
      </c>
      <c r="V490" t="inlineStr">
        <is>
          <t>1999-11-28</t>
        </is>
      </c>
      <c r="W490" t="inlineStr">
        <is>
          <t>1992-07-03</t>
        </is>
      </c>
      <c r="X490" t="inlineStr">
        <is>
          <t>1992-07-03</t>
        </is>
      </c>
      <c r="Y490" t="n">
        <v>122</v>
      </c>
      <c r="Z490" t="n">
        <v>89</v>
      </c>
      <c r="AA490" t="n">
        <v>94</v>
      </c>
      <c r="AB490" t="n">
        <v>1</v>
      </c>
      <c r="AC490" t="n">
        <v>1</v>
      </c>
      <c r="AD490" t="n">
        <v>3</v>
      </c>
      <c r="AE490" t="n">
        <v>3</v>
      </c>
      <c r="AF490" t="n">
        <v>0</v>
      </c>
      <c r="AG490" t="n">
        <v>0</v>
      </c>
      <c r="AH490" t="n">
        <v>2</v>
      </c>
      <c r="AI490" t="n">
        <v>2</v>
      </c>
      <c r="AJ490" t="n">
        <v>2</v>
      </c>
      <c r="AK490" t="n">
        <v>2</v>
      </c>
      <c r="AL490" t="n">
        <v>0</v>
      </c>
      <c r="AM490" t="n">
        <v>0</v>
      </c>
      <c r="AN490" t="n">
        <v>0</v>
      </c>
      <c r="AO490" t="n">
        <v>0</v>
      </c>
      <c r="AP490" t="inlineStr">
        <is>
          <t>No</t>
        </is>
      </c>
      <c r="AQ490" t="inlineStr">
        <is>
          <t>Yes</t>
        </is>
      </c>
      <c r="AR490">
        <f>HYPERLINK("http://catalog.hathitrust.org/Record/002528814","HathiTrust Record")</f>
        <v/>
      </c>
      <c r="AS490">
        <f>HYPERLINK("https://creighton-primo.hosted.exlibrisgroup.com/primo-explore/search?tab=default_tab&amp;search_scope=EVERYTHING&amp;vid=01CRU&amp;lang=en_US&amp;offset=0&amp;query=any,contains,991001949129702656","Catalog Record")</f>
        <v/>
      </c>
      <c r="AT490">
        <f>HYPERLINK("http://www.worldcat.org/oclc/24630167","WorldCat Record")</f>
        <v/>
      </c>
      <c r="AU490" t="inlineStr">
        <is>
          <t>27073029:eng</t>
        </is>
      </c>
      <c r="AV490" t="inlineStr">
        <is>
          <t>24630167</t>
        </is>
      </c>
      <c r="AW490" t="inlineStr">
        <is>
          <t>991001949129702656</t>
        </is>
      </c>
      <c r="AX490" t="inlineStr">
        <is>
          <t>991001949129702656</t>
        </is>
      </c>
      <c r="AY490" t="inlineStr">
        <is>
          <t>2266760900002656</t>
        </is>
      </c>
      <c r="AZ490" t="inlineStr">
        <is>
          <t>BOOK</t>
        </is>
      </c>
      <c r="BB490" t="inlineStr">
        <is>
          <t>9780792315148</t>
        </is>
      </c>
      <c r="BC490" t="inlineStr">
        <is>
          <t>32285001157139</t>
        </is>
      </c>
      <c r="BD490" t="inlineStr">
        <is>
          <t>893244581</t>
        </is>
      </c>
    </row>
    <row r="491">
      <c r="A491" t="inlineStr">
        <is>
          <t>No</t>
        </is>
      </c>
      <c r="B491" t="inlineStr">
        <is>
          <t>QD21 .B67 1997</t>
        </is>
      </c>
      <c r="C491" t="inlineStr">
        <is>
          <t>0                      QD 0021000B  67          1997</t>
        </is>
      </c>
      <c r="D491" t="inlineStr">
        <is>
          <t>Chemical achievers : the human face of the chemical sciences / Mary Ellen Bowden.</t>
        </is>
      </c>
      <c r="F491" t="inlineStr">
        <is>
          <t>No</t>
        </is>
      </c>
      <c r="G491" t="inlineStr">
        <is>
          <t>1</t>
        </is>
      </c>
      <c r="H491" t="inlineStr">
        <is>
          <t>No</t>
        </is>
      </c>
      <c r="I491" t="inlineStr">
        <is>
          <t>No</t>
        </is>
      </c>
      <c r="J491" t="inlineStr">
        <is>
          <t>0</t>
        </is>
      </c>
      <c r="K491" t="inlineStr">
        <is>
          <t>Bowden, Mary Ellen.</t>
        </is>
      </c>
      <c r="L491" t="inlineStr">
        <is>
          <t>Philadelphia : Chemical Heritage Foundation, c1997.</t>
        </is>
      </c>
      <c r="M491" t="inlineStr">
        <is>
          <t>1997</t>
        </is>
      </c>
      <c r="O491" t="inlineStr">
        <is>
          <t>eng</t>
        </is>
      </c>
      <c r="P491" t="inlineStr">
        <is>
          <t>pau</t>
        </is>
      </c>
      <c r="R491" t="inlineStr">
        <is>
          <t xml:space="preserve">QD </t>
        </is>
      </c>
      <c r="S491" t="n">
        <v>18</v>
      </c>
      <c r="T491" t="n">
        <v>18</v>
      </c>
      <c r="U491" t="inlineStr">
        <is>
          <t>2006-09-06</t>
        </is>
      </c>
      <c r="V491" t="inlineStr">
        <is>
          <t>2006-09-06</t>
        </is>
      </c>
      <c r="W491" t="inlineStr">
        <is>
          <t>1998-10-27</t>
        </is>
      </c>
      <c r="X491" t="inlineStr">
        <is>
          <t>1998-10-27</t>
        </is>
      </c>
      <c r="Y491" t="n">
        <v>351</v>
      </c>
      <c r="Z491" t="n">
        <v>316</v>
      </c>
      <c r="AA491" t="n">
        <v>348</v>
      </c>
      <c r="AB491" t="n">
        <v>5</v>
      </c>
      <c r="AC491" t="n">
        <v>5</v>
      </c>
      <c r="AD491" t="n">
        <v>14</v>
      </c>
      <c r="AE491" t="n">
        <v>14</v>
      </c>
      <c r="AF491" t="n">
        <v>6</v>
      </c>
      <c r="AG491" t="n">
        <v>6</v>
      </c>
      <c r="AH491" t="n">
        <v>1</v>
      </c>
      <c r="AI491" t="n">
        <v>1</v>
      </c>
      <c r="AJ491" t="n">
        <v>8</v>
      </c>
      <c r="AK491" t="n">
        <v>8</v>
      </c>
      <c r="AL491" t="n">
        <v>4</v>
      </c>
      <c r="AM491" t="n">
        <v>4</v>
      </c>
      <c r="AN491" t="n">
        <v>0</v>
      </c>
      <c r="AO491" t="n">
        <v>0</v>
      </c>
      <c r="AP491" t="inlineStr">
        <is>
          <t>No</t>
        </is>
      </c>
      <c r="AQ491" t="inlineStr">
        <is>
          <t>No</t>
        </is>
      </c>
      <c r="AS491">
        <f>HYPERLINK("https://creighton-primo.hosted.exlibrisgroup.com/primo-explore/search?tab=default_tab&amp;search_scope=EVERYTHING&amp;vid=01CRU&amp;lang=en_US&amp;offset=0&amp;query=any,contains,991000036059702656","Catalog Record")</f>
        <v/>
      </c>
      <c r="AT491">
        <f>HYPERLINK("http://www.worldcat.org/oclc/36292941","WorldCat Record")</f>
        <v/>
      </c>
      <c r="AU491" t="inlineStr">
        <is>
          <t>643420:eng</t>
        </is>
      </c>
      <c r="AV491" t="inlineStr">
        <is>
          <t>36292941</t>
        </is>
      </c>
      <c r="AW491" t="inlineStr">
        <is>
          <t>991000036059702656</t>
        </is>
      </c>
      <c r="AX491" t="inlineStr">
        <is>
          <t>991000036059702656</t>
        </is>
      </c>
      <c r="AY491" t="inlineStr">
        <is>
          <t>2256983010002656</t>
        </is>
      </c>
      <c r="AZ491" t="inlineStr">
        <is>
          <t>BOOK</t>
        </is>
      </c>
      <c r="BB491" t="inlineStr">
        <is>
          <t>9780941901123</t>
        </is>
      </c>
      <c r="BC491" t="inlineStr">
        <is>
          <t>32285004986625</t>
        </is>
      </c>
      <c r="BD491" t="inlineStr">
        <is>
          <t>893249015</t>
        </is>
      </c>
    </row>
    <row r="492">
      <c r="A492" t="inlineStr">
        <is>
          <t>No</t>
        </is>
      </c>
      <c r="B492" t="inlineStr">
        <is>
          <t>QD21 .F35</t>
        </is>
      </c>
      <c r="C492" t="inlineStr">
        <is>
          <t>0                      QD 0021000F  35</t>
        </is>
      </c>
      <c r="D492" t="inlineStr">
        <is>
          <t>Great chemists.</t>
        </is>
      </c>
      <c r="F492" t="inlineStr">
        <is>
          <t>No</t>
        </is>
      </c>
      <c r="G492" t="inlineStr">
        <is>
          <t>1</t>
        </is>
      </c>
      <c r="H492" t="inlineStr">
        <is>
          <t>No</t>
        </is>
      </c>
      <c r="I492" t="inlineStr">
        <is>
          <t>No</t>
        </is>
      </c>
      <c r="J492" t="inlineStr">
        <is>
          <t>0</t>
        </is>
      </c>
      <c r="K492" t="inlineStr">
        <is>
          <t>Farber, Eduard, 1892-1969 editor.</t>
        </is>
      </c>
      <c r="L492" t="inlineStr">
        <is>
          <t>New York : Interscience Publishers, 1961.</t>
        </is>
      </c>
      <c r="M492" t="inlineStr">
        <is>
          <t>1961</t>
        </is>
      </c>
      <c r="O492" t="inlineStr">
        <is>
          <t>eng</t>
        </is>
      </c>
      <c r="P492" t="inlineStr">
        <is>
          <t>nyu</t>
        </is>
      </c>
      <c r="R492" t="inlineStr">
        <is>
          <t xml:space="preserve">QD </t>
        </is>
      </c>
      <c r="S492" t="n">
        <v>21</v>
      </c>
      <c r="T492" t="n">
        <v>21</v>
      </c>
      <c r="U492" t="inlineStr">
        <is>
          <t>2003-04-11</t>
        </is>
      </c>
      <c r="V492" t="inlineStr">
        <is>
          <t>2003-04-11</t>
        </is>
      </c>
      <c r="W492" t="inlineStr">
        <is>
          <t>1992-06-03</t>
        </is>
      </c>
      <c r="X492" t="inlineStr">
        <is>
          <t>1992-06-03</t>
        </is>
      </c>
      <c r="Y492" t="n">
        <v>964</v>
      </c>
      <c r="Z492" t="n">
        <v>818</v>
      </c>
      <c r="AA492" t="n">
        <v>832</v>
      </c>
      <c r="AB492" t="n">
        <v>6</v>
      </c>
      <c r="AC492" t="n">
        <v>6</v>
      </c>
      <c r="AD492" t="n">
        <v>26</v>
      </c>
      <c r="AE492" t="n">
        <v>26</v>
      </c>
      <c r="AF492" t="n">
        <v>11</v>
      </c>
      <c r="AG492" t="n">
        <v>11</v>
      </c>
      <c r="AH492" t="n">
        <v>5</v>
      </c>
      <c r="AI492" t="n">
        <v>5</v>
      </c>
      <c r="AJ492" t="n">
        <v>12</v>
      </c>
      <c r="AK492" t="n">
        <v>12</v>
      </c>
      <c r="AL492" t="n">
        <v>5</v>
      </c>
      <c r="AM492" t="n">
        <v>5</v>
      </c>
      <c r="AN492" t="n">
        <v>0</v>
      </c>
      <c r="AO492" t="n">
        <v>0</v>
      </c>
      <c r="AP492" t="inlineStr">
        <is>
          <t>No</t>
        </is>
      </c>
      <c r="AQ492" t="inlineStr">
        <is>
          <t>No</t>
        </is>
      </c>
      <c r="AS492">
        <f>HYPERLINK("https://creighton-primo.hosted.exlibrisgroup.com/primo-explore/search?tab=default_tab&amp;search_scope=EVERYTHING&amp;vid=01CRU&amp;lang=en_US&amp;offset=0&amp;query=any,contains,991001311759702656","Catalog Record")</f>
        <v/>
      </c>
      <c r="AT492">
        <f>HYPERLINK("http://www.worldcat.org/oclc/220679","WorldCat Record")</f>
        <v/>
      </c>
      <c r="AU492" t="inlineStr">
        <is>
          <t>354634752:eng</t>
        </is>
      </c>
      <c r="AV492" t="inlineStr">
        <is>
          <t>220679</t>
        </is>
      </c>
      <c r="AW492" t="inlineStr">
        <is>
          <t>991001311759702656</t>
        </is>
      </c>
      <c r="AX492" t="inlineStr">
        <is>
          <t>991001311759702656</t>
        </is>
      </c>
      <c r="AY492" t="inlineStr">
        <is>
          <t>2261436060002656</t>
        </is>
      </c>
      <c r="AZ492" t="inlineStr">
        <is>
          <t>BOOK</t>
        </is>
      </c>
      <c r="BC492" t="inlineStr">
        <is>
          <t>32285001130011</t>
        </is>
      </c>
      <c r="BD492" t="inlineStr">
        <is>
          <t>893690527</t>
        </is>
      </c>
    </row>
    <row r="493">
      <c r="A493" t="inlineStr">
        <is>
          <t>No</t>
        </is>
      </c>
      <c r="B493" t="inlineStr">
        <is>
          <t>QD21 .H3 1927</t>
        </is>
      </c>
      <c r="C493" t="inlineStr">
        <is>
          <t>0                      QD 0021000H  3           1927</t>
        </is>
      </c>
      <c r="D493" t="inlineStr">
        <is>
          <t>Eminent chemists of our time / by Benjamin Harrow.</t>
        </is>
      </c>
      <c r="F493" t="inlineStr">
        <is>
          <t>No</t>
        </is>
      </c>
      <c r="G493" t="inlineStr">
        <is>
          <t>1</t>
        </is>
      </c>
      <c r="H493" t="inlineStr">
        <is>
          <t>No</t>
        </is>
      </c>
      <c r="I493" t="inlineStr">
        <is>
          <t>No</t>
        </is>
      </c>
      <c r="J493" t="inlineStr">
        <is>
          <t>0</t>
        </is>
      </c>
      <c r="K493" t="inlineStr">
        <is>
          <t>Harrow, Benjamin, 1888-1970.</t>
        </is>
      </c>
      <c r="L493" t="inlineStr">
        <is>
          <t>New York : D. Van Nostrand Company, inc. [c1927]</t>
        </is>
      </c>
      <c r="M493" t="inlineStr">
        <is>
          <t>1927</t>
        </is>
      </c>
      <c r="N493" t="inlineStr">
        <is>
          <t>2d ed., Enl.</t>
        </is>
      </c>
      <c r="O493" t="inlineStr">
        <is>
          <t>eng</t>
        </is>
      </c>
      <c r="P493" t="inlineStr">
        <is>
          <t>nyu</t>
        </is>
      </c>
      <c r="R493" t="inlineStr">
        <is>
          <t xml:space="preserve">QD </t>
        </is>
      </c>
      <c r="S493" t="n">
        <v>11</v>
      </c>
      <c r="T493" t="n">
        <v>11</v>
      </c>
      <c r="U493" t="inlineStr">
        <is>
          <t>2000-03-15</t>
        </is>
      </c>
      <c r="V493" t="inlineStr">
        <is>
          <t>2000-03-15</t>
        </is>
      </c>
      <c r="W493" t="inlineStr">
        <is>
          <t>1993-05-11</t>
        </is>
      </c>
      <c r="X493" t="inlineStr">
        <is>
          <t>1993-05-11</t>
        </is>
      </c>
      <c r="Y493" t="n">
        <v>291</v>
      </c>
      <c r="Z493" t="n">
        <v>274</v>
      </c>
      <c r="AA493" t="n">
        <v>626</v>
      </c>
      <c r="AB493" t="n">
        <v>3</v>
      </c>
      <c r="AC493" t="n">
        <v>7</v>
      </c>
      <c r="AD493" t="n">
        <v>12</v>
      </c>
      <c r="AE493" t="n">
        <v>27</v>
      </c>
      <c r="AF493" t="n">
        <v>5</v>
      </c>
      <c r="AG493" t="n">
        <v>10</v>
      </c>
      <c r="AH493" t="n">
        <v>2</v>
      </c>
      <c r="AI493" t="n">
        <v>6</v>
      </c>
      <c r="AJ493" t="n">
        <v>6</v>
      </c>
      <c r="AK493" t="n">
        <v>13</v>
      </c>
      <c r="AL493" t="n">
        <v>1</v>
      </c>
      <c r="AM493" t="n">
        <v>4</v>
      </c>
      <c r="AN493" t="n">
        <v>0</v>
      </c>
      <c r="AO493" t="n">
        <v>0</v>
      </c>
      <c r="AP493" t="inlineStr">
        <is>
          <t>Yes</t>
        </is>
      </c>
      <c r="AQ493" t="inlineStr">
        <is>
          <t>No</t>
        </is>
      </c>
      <c r="AR493">
        <f>HYPERLINK("http://catalog.hathitrust.org/Record/010055135","HathiTrust Record")</f>
        <v/>
      </c>
      <c r="AS493">
        <f>HYPERLINK("https://creighton-primo.hosted.exlibrisgroup.com/primo-explore/search?tab=default_tab&amp;search_scope=EVERYTHING&amp;vid=01CRU&amp;lang=en_US&amp;offset=0&amp;query=any,contains,991004223869702656","Catalog Record")</f>
        <v/>
      </c>
      <c r="AT493">
        <f>HYPERLINK("http://www.worldcat.org/oclc/2721999","WorldCat Record")</f>
        <v/>
      </c>
      <c r="AU493" t="inlineStr">
        <is>
          <t>498220:eng</t>
        </is>
      </c>
      <c r="AV493" t="inlineStr">
        <is>
          <t>2721999</t>
        </is>
      </c>
      <c r="AW493" t="inlineStr">
        <is>
          <t>991004223869702656</t>
        </is>
      </c>
      <c r="AX493" t="inlineStr">
        <is>
          <t>991004223869702656</t>
        </is>
      </c>
      <c r="AY493" t="inlineStr">
        <is>
          <t>2258840380002656</t>
        </is>
      </c>
      <c r="AZ493" t="inlineStr">
        <is>
          <t>BOOK</t>
        </is>
      </c>
      <c r="BC493" t="inlineStr">
        <is>
          <t>32285001652956</t>
        </is>
      </c>
      <c r="BD493" t="inlineStr">
        <is>
          <t>893628043</t>
        </is>
      </c>
    </row>
    <row r="494">
      <c r="A494" t="inlineStr">
        <is>
          <t>No</t>
        </is>
      </c>
      <c r="B494" t="inlineStr">
        <is>
          <t>QD21 .J3 1957</t>
        </is>
      </c>
      <c r="C494" t="inlineStr">
        <is>
          <t>0                      QD 0021000J  3           1957</t>
        </is>
      </c>
      <c r="D494" t="inlineStr">
        <is>
          <t>Crucibles : the story of chemistry / newly abridged and revised by the author.</t>
        </is>
      </c>
      <c r="F494" t="inlineStr">
        <is>
          <t>No</t>
        </is>
      </c>
      <c r="G494" t="inlineStr">
        <is>
          <t>1</t>
        </is>
      </c>
      <c r="H494" t="inlineStr">
        <is>
          <t>No</t>
        </is>
      </c>
      <c r="I494" t="inlineStr">
        <is>
          <t>No</t>
        </is>
      </c>
      <c r="J494" t="inlineStr">
        <is>
          <t>0</t>
        </is>
      </c>
      <c r="K494" t="inlineStr">
        <is>
          <t>Jaffe, Bernard, 1896-1986.</t>
        </is>
      </c>
      <c r="L494" t="inlineStr">
        <is>
          <t>Greenwich, Conn. : Fawcett, 1957.</t>
        </is>
      </c>
      <c r="M494" t="inlineStr">
        <is>
          <t>1957</t>
        </is>
      </c>
      <c r="O494" t="inlineStr">
        <is>
          <t>eng</t>
        </is>
      </c>
      <c r="P494" t="inlineStr">
        <is>
          <t>ctu</t>
        </is>
      </c>
      <c r="R494" t="inlineStr">
        <is>
          <t xml:space="preserve">QD </t>
        </is>
      </c>
      <c r="S494" t="n">
        <v>5</v>
      </c>
      <c r="T494" t="n">
        <v>5</v>
      </c>
      <c r="U494" t="inlineStr">
        <is>
          <t>1992-10-30</t>
        </is>
      </c>
      <c r="V494" t="inlineStr">
        <is>
          <t>1992-10-30</t>
        </is>
      </c>
      <c r="W494" t="inlineStr">
        <is>
          <t>1992-01-14</t>
        </is>
      </c>
      <c r="X494" t="inlineStr">
        <is>
          <t>1992-01-14</t>
        </is>
      </c>
      <c r="Y494" t="n">
        <v>50</v>
      </c>
      <c r="Z494" t="n">
        <v>46</v>
      </c>
      <c r="AA494" t="n">
        <v>320</v>
      </c>
      <c r="AB494" t="n">
        <v>1</v>
      </c>
      <c r="AC494" t="n">
        <v>4</v>
      </c>
      <c r="AD494" t="n">
        <v>3</v>
      </c>
      <c r="AE494" t="n">
        <v>10</v>
      </c>
      <c r="AF494" t="n">
        <v>3</v>
      </c>
      <c r="AG494" t="n">
        <v>4</v>
      </c>
      <c r="AH494" t="n">
        <v>0</v>
      </c>
      <c r="AI494" t="n">
        <v>1</v>
      </c>
      <c r="AJ494" t="n">
        <v>0</v>
      </c>
      <c r="AK494" t="n">
        <v>3</v>
      </c>
      <c r="AL494" t="n">
        <v>0</v>
      </c>
      <c r="AM494" t="n">
        <v>3</v>
      </c>
      <c r="AN494" t="n">
        <v>0</v>
      </c>
      <c r="AO494" t="n">
        <v>0</v>
      </c>
      <c r="AP494" t="inlineStr">
        <is>
          <t>No</t>
        </is>
      </c>
      <c r="AQ494" t="inlineStr">
        <is>
          <t>No</t>
        </is>
      </c>
      <c r="AS494">
        <f>HYPERLINK("https://creighton-primo.hosted.exlibrisgroup.com/primo-explore/search?tab=default_tab&amp;search_scope=EVERYTHING&amp;vid=01CRU&amp;lang=en_US&amp;offset=0&amp;query=any,contains,991001128559702656","Catalog Record")</f>
        <v/>
      </c>
      <c r="AT494">
        <f>HYPERLINK("http://www.worldcat.org/oclc/16672719","WorldCat Record")</f>
        <v/>
      </c>
      <c r="AU494" t="inlineStr">
        <is>
          <t>3943272492:eng</t>
        </is>
      </c>
      <c r="AV494" t="inlineStr">
        <is>
          <t>16672719</t>
        </is>
      </c>
      <c r="AW494" t="inlineStr">
        <is>
          <t>991001128559702656</t>
        </is>
      </c>
      <c r="AX494" t="inlineStr">
        <is>
          <t>991001128559702656</t>
        </is>
      </c>
      <c r="AY494" t="inlineStr">
        <is>
          <t>2271138430002656</t>
        </is>
      </c>
      <c r="AZ494" t="inlineStr">
        <is>
          <t>BOOK</t>
        </is>
      </c>
      <c r="BC494" t="inlineStr">
        <is>
          <t>32285000911809</t>
        </is>
      </c>
      <c r="BD494" t="inlineStr">
        <is>
          <t>893522315</t>
        </is>
      </c>
    </row>
    <row r="495">
      <c r="A495" t="inlineStr">
        <is>
          <t>No</t>
        </is>
      </c>
      <c r="B495" t="inlineStr">
        <is>
          <t>QD21 .S78 2005</t>
        </is>
      </c>
      <c r="C495" t="inlineStr">
        <is>
          <t>0                      QD 0021000S  78          2005</t>
        </is>
      </c>
      <c r="D495" t="inlineStr">
        <is>
          <t>Successful women in chemistry : corporate America's contribution to science / Amber S. Hinkle, editor, Jody A. Kocsis, editor ; sponsored by the ACS Women Chemists Committee.</t>
        </is>
      </c>
      <c r="F495" t="inlineStr">
        <is>
          <t>No</t>
        </is>
      </c>
      <c r="G495" t="inlineStr">
        <is>
          <t>1</t>
        </is>
      </c>
      <c r="H495" t="inlineStr">
        <is>
          <t>No</t>
        </is>
      </c>
      <c r="I495" t="inlineStr">
        <is>
          <t>No</t>
        </is>
      </c>
      <c r="J495" t="inlineStr">
        <is>
          <t>0</t>
        </is>
      </c>
      <c r="L495" t="inlineStr">
        <is>
          <t>Washington, DC : American Chemical Society : Distributed by Oxford University Press, c2005.</t>
        </is>
      </c>
      <c r="M495" t="inlineStr">
        <is>
          <t>2005</t>
        </is>
      </c>
      <c r="O495" t="inlineStr">
        <is>
          <t>eng</t>
        </is>
      </c>
      <c r="P495" t="inlineStr">
        <is>
          <t>dcu</t>
        </is>
      </c>
      <c r="Q495" t="inlineStr">
        <is>
          <t>ACS symposium series ; 907</t>
        </is>
      </c>
      <c r="R495" t="inlineStr">
        <is>
          <t xml:space="preserve">QD </t>
        </is>
      </c>
      <c r="S495" t="n">
        <v>2</v>
      </c>
      <c r="T495" t="n">
        <v>2</v>
      </c>
      <c r="U495" t="inlineStr">
        <is>
          <t>2006-03-01</t>
        </is>
      </c>
      <c r="V495" t="inlineStr">
        <is>
          <t>2006-03-01</t>
        </is>
      </c>
      <c r="W495" t="inlineStr">
        <is>
          <t>2006-03-01</t>
        </is>
      </c>
      <c r="X495" t="inlineStr">
        <is>
          <t>2006-03-01</t>
        </is>
      </c>
      <c r="Y495" t="n">
        <v>358</v>
      </c>
      <c r="Z495" t="n">
        <v>308</v>
      </c>
      <c r="AA495" t="n">
        <v>347</v>
      </c>
      <c r="AB495" t="n">
        <v>6</v>
      </c>
      <c r="AC495" t="n">
        <v>6</v>
      </c>
      <c r="AD495" t="n">
        <v>18</v>
      </c>
      <c r="AE495" t="n">
        <v>18</v>
      </c>
      <c r="AF495" t="n">
        <v>5</v>
      </c>
      <c r="AG495" t="n">
        <v>5</v>
      </c>
      <c r="AH495" t="n">
        <v>5</v>
      </c>
      <c r="AI495" t="n">
        <v>5</v>
      </c>
      <c r="AJ495" t="n">
        <v>5</v>
      </c>
      <c r="AK495" t="n">
        <v>5</v>
      </c>
      <c r="AL495" t="n">
        <v>5</v>
      </c>
      <c r="AM495" t="n">
        <v>5</v>
      </c>
      <c r="AN495" t="n">
        <v>0</v>
      </c>
      <c r="AO495" t="n">
        <v>0</v>
      </c>
      <c r="AP495" t="inlineStr">
        <is>
          <t>No</t>
        </is>
      </c>
      <c r="AQ495" t="inlineStr">
        <is>
          <t>Yes</t>
        </is>
      </c>
      <c r="AR495">
        <f>HYPERLINK("http://catalog.hathitrust.org/Record/005043938","HathiTrust Record")</f>
        <v/>
      </c>
      <c r="AS495">
        <f>HYPERLINK("https://creighton-primo.hosted.exlibrisgroup.com/primo-explore/search?tab=default_tab&amp;search_scope=EVERYTHING&amp;vid=01CRU&amp;lang=en_US&amp;offset=0&amp;query=any,contains,991004724639702656","Catalog Record")</f>
        <v/>
      </c>
      <c r="AT495">
        <f>HYPERLINK("http://www.worldcat.org/oclc/57693387","WorldCat Record")</f>
        <v/>
      </c>
      <c r="AU495" t="inlineStr">
        <is>
          <t>793875918:eng</t>
        </is>
      </c>
      <c r="AV495" t="inlineStr">
        <is>
          <t>57693387</t>
        </is>
      </c>
      <c r="AW495" t="inlineStr">
        <is>
          <t>991004724639702656</t>
        </is>
      </c>
      <c r="AX495" t="inlineStr">
        <is>
          <t>991004724639702656</t>
        </is>
      </c>
      <c r="AY495" t="inlineStr">
        <is>
          <t>2265603260002656</t>
        </is>
      </c>
      <c r="AZ495" t="inlineStr">
        <is>
          <t>BOOK</t>
        </is>
      </c>
      <c r="BB495" t="inlineStr">
        <is>
          <t>9780841239128</t>
        </is>
      </c>
      <c r="BC495" t="inlineStr">
        <is>
          <t>32285005161665</t>
        </is>
      </c>
      <c r="BD495" t="inlineStr">
        <is>
          <t>893532727</t>
        </is>
      </c>
    </row>
    <row r="496">
      <c r="A496" t="inlineStr">
        <is>
          <t>No</t>
        </is>
      </c>
      <c r="B496" t="inlineStr">
        <is>
          <t>QD21 .T6</t>
        </is>
      </c>
      <c r="C496" t="inlineStr">
        <is>
          <t>0                      QD 0021000T  6</t>
        </is>
      </c>
      <c r="D496" t="inlineStr">
        <is>
          <t>Famous chemists : the men and their work / by Sir William A. Tilden.</t>
        </is>
      </c>
      <c r="F496" t="inlineStr">
        <is>
          <t>No</t>
        </is>
      </c>
      <c r="G496" t="inlineStr">
        <is>
          <t>1</t>
        </is>
      </c>
      <c r="H496" t="inlineStr">
        <is>
          <t>No</t>
        </is>
      </c>
      <c r="I496" t="inlineStr">
        <is>
          <t>No</t>
        </is>
      </c>
      <c r="J496" t="inlineStr">
        <is>
          <t>0</t>
        </is>
      </c>
      <c r="K496" t="inlineStr">
        <is>
          <t>Tilden, William A. (William Augustus), Sir, 1842-1926.</t>
        </is>
      </c>
      <c r="L496" t="inlineStr">
        <is>
          <t>London : G. Routledge &amp; Sons, ltd. ; New York : E.P. Dutton &amp; Co., 1921.</t>
        </is>
      </c>
      <c r="M496" t="inlineStr">
        <is>
          <t>1921</t>
        </is>
      </c>
      <c r="O496" t="inlineStr">
        <is>
          <t>eng</t>
        </is>
      </c>
      <c r="P496" t="inlineStr">
        <is>
          <t>enk</t>
        </is>
      </c>
      <c r="R496" t="inlineStr">
        <is>
          <t xml:space="preserve">QD </t>
        </is>
      </c>
      <c r="S496" t="n">
        <v>23</v>
      </c>
      <c r="T496" t="n">
        <v>23</v>
      </c>
      <c r="U496" t="inlineStr">
        <is>
          <t>2005-04-03</t>
        </is>
      </c>
      <c r="V496" t="inlineStr">
        <is>
          <t>2005-04-03</t>
        </is>
      </c>
      <c r="W496" t="inlineStr">
        <is>
          <t>1993-04-16</t>
        </is>
      </c>
      <c r="X496" t="inlineStr">
        <is>
          <t>1993-04-16</t>
        </is>
      </c>
      <c r="Y496" t="n">
        <v>319</v>
      </c>
      <c r="Z496" t="n">
        <v>267</v>
      </c>
      <c r="AA496" t="n">
        <v>578</v>
      </c>
      <c r="AB496" t="n">
        <v>5</v>
      </c>
      <c r="AC496" t="n">
        <v>5</v>
      </c>
      <c r="AD496" t="n">
        <v>12</v>
      </c>
      <c r="AE496" t="n">
        <v>22</v>
      </c>
      <c r="AF496" t="n">
        <v>4</v>
      </c>
      <c r="AG496" t="n">
        <v>11</v>
      </c>
      <c r="AH496" t="n">
        <v>2</v>
      </c>
      <c r="AI496" t="n">
        <v>4</v>
      </c>
      <c r="AJ496" t="n">
        <v>5</v>
      </c>
      <c r="AK496" t="n">
        <v>10</v>
      </c>
      <c r="AL496" t="n">
        <v>3</v>
      </c>
      <c r="AM496" t="n">
        <v>3</v>
      </c>
      <c r="AN496" t="n">
        <v>0</v>
      </c>
      <c r="AO496" t="n">
        <v>0</v>
      </c>
      <c r="AP496" t="inlineStr">
        <is>
          <t>Yes</t>
        </is>
      </c>
      <c r="AQ496" t="inlineStr">
        <is>
          <t>No</t>
        </is>
      </c>
      <c r="AR496">
        <f>HYPERLINK("http://catalog.hathitrust.org/Record/001486499","HathiTrust Record")</f>
        <v/>
      </c>
      <c r="AS496">
        <f>HYPERLINK("https://creighton-primo.hosted.exlibrisgroup.com/primo-explore/search?tab=default_tab&amp;search_scope=EVERYTHING&amp;vid=01CRU&amp;lang=en_US&amp;offset=0&amp;query=any,contains,991005368519702656","Catalog Record")</f>
        <v/>
      </c>
      <c r="AT496">
        <f>HYPERLINK("http://www.worldcat.org/oclc/2084228","WorldCat Record")</f>
        <v/>
      </c>
      <c r="AU496" t="inlineStr">
        <is>
          <t>1568768:eng</t>
        </is>
      </c>
      <c r="AV496" t="inlineStr">
        <is>
          <t>2084228</t>
        </is>
      </c>
      <c r="AW496" t="inlineStr">
        <is>
          <t>991005368519702656</t>
        </is>
      </c>
      <c r="AX496" t="inlineStr">
        <is>
          <t>991005368519702656</t>
        </is>
      </c>
      <c r="AY496" t="inlineStr">
        <is>
          <t>2254746270002656</t>
        </is>
      </c>
      <c r="AZ496" t="inlineStr">
        <is>
          <t>BOOK</t>
        </is>
      </c>
      <c r="BC496" t="inlineStr">
        <is>
          <t>32285001621233</t>
        </is>
      </c>
      <c r="BD496" t="inlineStr">
        <is>
          <t>893796101</t>
        </is>
      </c>
    </row>
    <row r="497">
      <c r="A497" t="inlineStr">
        <is>
          <t>No</t>
        </is>
      </c>
      <c r="B497" t="inlineStr">
        <is>
          <t>QD21 .W62 1993</t>
        </is>
      </c>
      <c r="C497" t="inlineStr">
        <is>
          <t>0                      QD 0021000W  62          1993</t>
        </is>
      </c>
      <c r="D497" t="inlineStr">
        <is>
          <t>Women in chemistry and physics : a biobibliographic sourcebook / edited by Louise S. Grinstein, Rose K. Rose, and Miriam H. Rafailovich ; foreword by Lilli S. Hornig.</t>
        </is>
      </c>
      <c r="F497" t="inlineStr">
        <is>
          <t>No</t>
        </is>
      </c>
      <c r="G497" t="inlineStr">
        <is>
          <t>1</t>
        </is>
      </c>
      <c r="H497" t="inlineStr">
        <is>
          <t>No</t>
        </is>
      </c>
      <c r="I497" t="inlineStr">
        <is>
          <t>No</t>
        </is>
      </c>
      <c r="J497" t="inlineStr">
        <is>
          <t>0</t>
        </is>
      </c>
      <c r="L497" t="inlineStr">
        <is>
          <t>Westport, Conn. : Greenwood Press, 1993.</t>
        </is>
      </c>
      <c r="M497" t="inlineStr">
        <is>
          <t>1993</t>
        </is>
      </c>
      <c r="O497" t="inlineStr">
        <is>
          <t>eng</t>
        </is>
      </c>
      <c r="P497" t="inlineStr">
        <is>
          <t>ctu</t>
        </is>
      </c>
      <c r="R497" t="inlineStr">
        <is>
          <t xml:space="preserve">QD </t>
        </is>
      </c>
      <c r="S497" t="n">
        <v>15</v>
      </c>
      <c r="T497" t="n">
        <v>15</v>
      </c>
      <c r="U497" t="inlineStr">
        <is>
          <t>2008-04-02</t>
        </is>
      </c>
      <c r="V497" t="inlineStr">
        <is>
          <t>2008-04-02</t>
        </is>
      </c>
      <c r="W497" t="inlineStr">
        <is>
          <t>1994-03-14</t>
        </is>
      </c>
      <c r="X497" t="inlineStr">
        <is>
          <t>1994-03-14</t>
        </is>
      </c>
      <c r="Y497" t="n">
        <v>697</v>
      </c>
      <c r="Z497" t="n">
        <v>610</v>
      </c>
      <c r="AA497" t="n">
        <v>616</v>
      </c>
      <c r="AB497" t="n">
        <v>4</v>
      </c>
      <c r="AC497" t="n">
        <v>4</v>
      </c>
      <c r="AD497" t="n">
        <v>20</v>
      </c>
      <c r="AE497" t="n">
        <v>20</v>
      </c>
      <c r="AF497" t="n">
        <v>5</v>
      </c>
      <c r="AG497" t="n">
        <v>5</v>
      </c>
      <c r="AH497" t="n">
        <v>5</v>
      </c>
      <c r="AI497" t="n">
        <v>5</v>
      </c>
      <c r="AJ497" t="n">
        <v>12</v>
      </c>
      <c r="AK497" t="n">
        <v>12</v>
      </c>
      <c r="AL497" t="n">
        <v>2</v>
      </c>
      <c r="AM497" t="n">
        <v>2</v>
      </c>
      <c r="AN497" t="n">
        <v>0</v>
      </c>
      <c r="AO497" t="n">
        <v>0</v>
      </c>
      <c r="AP497" t="inlineStr">
        <is>
          <t>No</t>
        </is>
      </c>
      <c r="AQ497" t="inlineStr">
        <is>
          <t>Yes</t>
        </is>
      </c>
      <c r="AR497">
        <f>HYPERLINK("http://catalog.hathitrust.org/Record/002806028","HathiTrust Record")</f>
        <v/>
      </c>
      <c r="AS497">
        <f>HYPERLINK("https://creighton-primo.hosted.exlibrisgroup.com/primo-explore/search?tab=default_tab&amp;search_scope=EVERYTHING&amp;vid=01CRU&amp;lang=en_US&amp;offset=0&amp;query=any,contains,991002112159702656","Catalog Record")</f>
        <v/>
      </c>
      <c r="AT497">
        <f>HYPERLINK("http://www.worldcat.org/oclc/27068054","WorldCat Record")</f>
        <v/>
      </c>
      <c r="AU497" t="inlineStr">
        <is>
          <t>836884081:eng</t>
        </is>
      </c>
      <c r="AV497" t="inlineStr">
        <is>
          <t>27068054</t>
        </is>
      </c>
      <c r="AW497" t="inlineStr">
        <is>
          <t>991002112159702656</t>
        </is>
      </c>
      <c r="AX497" t="inlineStr">
        <is>
          <t>991002112159702656</t>
        </is>
      </c>
      <c r="AY497" t="inlineStr">
        <is>
          <t>2256455090002656</t>
        </is>
      </c>
      <c r="AZ497" t="inlineStr">
        <is>
          <t>BOOK</t>
        </is>
      </c>
      <c r="BB497" t="inlineStr">
        <is>
          <t>9780313273827</t>
        </is>
      </c>
      <c r="BC497" t="inlineStr">
        <is>
          <t>32285001856391</t>
        </is>
      </c>
      <c r="BD497" t="inlineStr">
        <is>
          <t>893873115</t>
        </is>
      </c>
    </row>
    <row r="498">
      <c r="A498" t="inlineStr">
        <is>
          <t>No</t>
        </is>
      </c>
      <c r="B498" t="inlineStr">
        <is>
          <t>QD21.K45 G7</t>
        </is>
      </c>
      <c r="C498" t="inlineStr">
        <is>
          <t>0                      QD 0021000K  45                 G  7</t>
        </is>
      </c>
      <c r="D498" t="inlineStr">
        <is>
          <t>Great discoveries by young chemists.</t>
        </is>
      </c>
      <c r="F498" t="inlineStr">
        <is>
          <t>No</t>
        </is>
      </c>
      <c r="G498" t="inlineStr">
        <is>
          <t>1</t>
        </is>
      </c>
      <c r="H498" t="inlineStr">
        <is>
          <t>No</t>
        </is>
      </c>
      <c r="I498" t="inlineStr">
        <is>
          <t>No</t>
        </is>
      </c>
      <c r="J498" t="inlineStr">
        <is>
          <t>0</t>
        </is>
      </c>
      <c r="K498" t="inlineStr">
        <is>
          <t>Kendall, James, 1889-1978.</t>
        </is>
      </c>
      <c r="L498" t="inlineStr">
        <is>
          <t>New York, Crowell [1954]</t>
        </is>
      </c>
      <c r="M498" t="inlineStr">
        <is>
          <t>1954</t>
        </is>
      </c>
      <c r="O498" t="inlineStr">
        <is>
          <t>eng</t>
        </is>
      </c>
      <c r="P498" t="inlineStr">
        <is>
          <t>nyu</t>
        </is>
      </c>
      <c r="R498" t="inlineStr">
        <is>
          <t xml:space="preserve">QD </t>
        </is>
      </c>
      <c r="S498" t="n">
        <v>3</v>
      </c>
      <c r="T498" t="n">
        <v>3</v>
      </c>
      <c r="U498" t="inlineStr">
        <is>
          <t>2004-11-17</t>
        </is>
      </c>
      <c r="V498" t="inlineStr">
        <is>
          <t>2004-11-17</t>
        </is>
      </c>
      <c r="W498" t="inlineStr">
        <is>
          <t>1997-05-28</t>
        </is>
      </c>
      <c r="X498" t="inlineStr">
        <is>
          <t>1997-05-28</t>
        </is>
      </c>
      <c r="Y498" t="n">
        <v>179</v>
      </c>
      <c r="Z498" t="n">
        <v>175</v>
      </c>
      <c r="AA498" t="n">
        <v>295</v>
      </c>
      <c r="AB498" t="n">
        <v>1</v>
      </c>
      <c r="AC498" t="n">
        <v>1</v>
      </c>
      <c r="AD498" t="n">
        <v>1</v>
      </c>
      <c r="AE498" t="n">
        <v>3</v>
      </c>
      <c r="AF498" t="n">
        <v>1</v>
      </c>
      <c r="AG498" t="n">
        <v>3</v>
      </c>
      <c r="AH498" t="n">
        <v>0</v>
      </c>
      <c r="AI498" t="n">
        <v>0</v>
      </c>
      <c r="AJ498" t="n">
        <v>0</v>
      </c>
      <c r="AK498" t="n">
        <v>1</v>
      </c>
      <c r="AL498" t="n">
        <v>0</v>
      </c>
      <c r="AM498" t="n">
        <v>0</v>
      </c>
      <c r="AN498" t="n">
        <v>0</v>
      </c>
      <c r="AO498" t="n">
        <v>0</v>
      </c>
      <c r="AP498" t="inlineStr">
        <is>
          <t>No</t>
        </is>
      </c>
      <c r="AQ498" t="inlineStr">
        <is>
          <t>No</t>
        </is>
      </c>
      <c r="AS498">
        <f>HYPERLINK("https://creighton-primo.hosted.exlibrisgroup.com/primo-explore/search?tab=default_tab&amp;search_scope=EVERYTHING&amp;vid=01CRU&amp;lang=en_US&amp;offset=0&amp;query=any,contains,991002949529702656","Catalog Record")</f>
        <v/>
      </c>
      <c r="AT498">
        <f>HYPERLINK("http://www.worldcat.org/oclc/538080","WorldCat Record")</f>
        <v/>
      </c>
      <c r="AU498" t="inlineStr">
        <is>
          <t>149447381:eng</t>
        </is>
      </c>
      <c r="AV498" t="inlineStr">
        <is>
          <t>538080</t>
        </is>
      </c>
      <c r="AW498" t="inlineStr">
        <is>
          <t>991002949529702656</t>
        </is>
      </c>
      <c r="AX498" t="inlineStr">
        <is>
          <t>991002949529702656</t>
        </is>
      </c>
      <c r="AY498" t="inlineStr">
        <is>
          <t>2262292300002656</t>
        </is>
      </c>
      <c r="AZ498" t="inlineStr">
        <is>
          <t>BOOK</t>
        </is>
      </c>
      <c r="BC498" t="inlineStr">
        <is>
          <t>32285002776762</t>
        </is>
      </c>
      <c r="BD498" t="inlineStr">
        <is>
          <t>893251815</t>
        </is>
      </c>
    </row>
    <row r="499">
      <c r="A499" t="inlineStr">
        <is>
          <t>No</t>
        </is>
      </c>
      <c r="B499" t="inlineStr">
        <is>
          <t>QD22.C38 B4</t>
        </is>
      </c>
      <c r="C499" t="inlineStr">
        <is>
          <t>0                      QD 0022000C  38                 B  4</t>
        </is>
      </c>
      <c r="D499" t="inlineStr">
        <is>
          <t>Henry Cavendish, his life and scientific work.</t>
        </is>
      </c>
      <c r="F499" t="inlineStr">
        <is>
          <t>No</t>
        </is>
      </c>
      <c r="G499" t="inlineStr">
        <is>
          <t>1</t>
        </is>
      </c>
      <c r="H499" t="inlineStr">
        <is>
          <t>No</t>
        </is>
      </c>
      <c r="I499" t="inlineStr">
        <is>
          <t>No</t>
        </is>
      </c>
      <c r="J499" t="inlineStr">
        <is>
          <t>0</t>
        </is>
      </c>
      <c r="K499" t="inlineStr">
        <is>
          <t>Berry, A. J. (Arthur John)</t>
        </is>
      </c>
      <c r="L499" t="inlineStr">
        <is>
          <t>London, Hutchinson [1960]</t>
        </is>
      </c>
      <c r="M499" t="inlineStr">
        <is>
          <t>1960</t>
        </is>
      </c>
      <c r="O499" t="inlineStr">
        <is>
          <t>eng</t>
        </is>
      </c>
      <c r="P499" t="inlineStr">
        <is>
          <t>___</t>
        </is>
      </c>
      <c r="R499" t="inlineStr">
        <is>
          <t xml:space="preserve">QD </t>
        </is>
      </c>
      <c r="S499" t="n">
        <v>17</v>
      </c>
      <c r="T499" t="n">
        <v>17</v>
      </c>
      <c r="U499" t="inlineStr">
        <is>
          <t>2009-12-03</t>
        </is>
      </c>
      <c r="V499" t="inlineStr">
        <is>
          <t>2009-12-03</t>
        </is>
      </c>
      <c r="W499" t="inlineStr">
        <is>
          <t>1993-10-06</t>
        </is>
      </c>
      <c r="X499" t="inlineStr">
        <is>
          <t>1993-10-06</t>
        </is>
      </c>
      <c r="Y499" t="n">
        <v>363</v>
      </c>
      <c r="Z499" t="n">
        <v>259</v>
      </c>
      <c r="AA499" t="n">
        <v>261</v>
      </c>
      <c r="AB499" t="n">
        <v>1</v>
      </c>
      <c r="AC499" t="n">
        <v>1</v>
      </c>
      <c r="AD499" t="n">
        <v>7</v>
      </c>
      <c r="AE499" t="n">
        <v>7</v>
      </c>
      <c r="AF499" t="n">
        <v>1</v>
      </c>
      <c r="AG499" t="n">
        <v>1</v>
      </c>
      <c r="AH499" t="n">
        <v>3</v>
      </c>
      <c r="AI499" t="n">
        <v>3</v>
      </c>
      <c r="AJ499" t="n">
        <v>4</v>
      </c>
      <c r="AK499" t="n">
        <v>4</v>
      </c>
      <c r="AL499" t="n">
        <v>0</v>
      </c>
      <c r="AM499" t="n">
        <v>0</v>
      </c>
      <c r="AN499" t="n">
        <v>0</v>
      </c>
      <c r="AO499" t="n">
        <v>0</v>
      </c>
      <c r="AP499" t="inlineStr">
        <is>
          <t>No</t>
        </is>
      </c>
      <c r="AQ499" t="inlineStr">
        <is>
          <t>Yes</t>
        </is>
      </c>
      <c r="AR499">
        <f>HYPERLINK("http://catalog.hathitrust.org/Record/001486507","HathiTrust Record")</f>
        <v/>
      </c>
      <c r="AS499">
        <f>HYPERLINK("https://creighton-primo.hosted.exlibrisgroup.com/primo-explore/search?tab=default_tab&amp;search_scope=EVERYTHING&amp;vid=01CRU&amp;lang=en_US&amp;offset=0&amp;query=any,contains,991002874889702656","Catalog Record")</f>
        <v/>
      </c>
      <c r="AT499">
        <f>HYPERLINK("http://www.worldcat.org/oclc/13233202","WorldCat Record")</f>
        <v/>
      </c>
      <c r="AU499" t="inlineStr">
        <is>
          <t>428571824:eng</t>
        </is>
      </c>
      <c r="AV499" t="inlineStr">
        <is>
          <t>13233202</t>
        </is>
      </c>
      <c r="AW499" t="inlineStr">
        <is>
          <t>991002874889702656</t>
        </is>
      </c>
      <c r="AX499" t="inlineStr">
        <is>
          <t>991002874889702656</t>
        </is>
      </c>
      <c r="AY499" t="inlineStr">
        <is>
          <t>2261882550002656</t>
        </is>
      </c>
      <c r="AZ499" t="inlineStr">
        <is>
          <t>BOOK</t>
        </is>
      </c>
      <c r="BC499" t="inlineStr">
        <is>
          <t>32285001772978</t>
        </is>
      </c>
      <c r="BD499" t="inlineStr">
        <is>
          <t>893445422</t>
        </is>
      </c>
    </row>
    <row r="500">
      <c r="A500" t="inlineStr">
        <is>
          <t>No</t>
        </is>
      </c>
      <c r="B500" t="inlineStr">
        <is>
          <t>QD22.C4 J86 1999</t>
        </is>
      </c>
      <c r="C500" t="inlineStr">
        <is>
          <t>0                      QD 0022000C  4                  J  86          1999</t>
        </is>
      </c>
      <c r="D500" t="inlineStr">
        <is>
          <t>Cavendish : the experimental life / by Christa Jungnickel and Russell McCormmach.</t>
        </is>
      </c>
      <c r="F500" t="inlineStr">
        <is>
          <t>No</t>
        </is>
      </c>
      <c r="G500" t="inlineStr">
        <is>
          <t>1</t>
        </is>
      </c>
      <c r="H500" t="inlineStr">
        <is>
          <t>No</t>
        </is>
      </c>
      <c r="I500" t="inlineStr">
        <is>
          <t>No</t>
        </is>
      </c>
      <c r="J500" t="inlineStr">
        <is>
          <t>0</t>
        </is>
      </c>
      <c r="K500" t="inlineStr">
        <is>
          <t>Jungnickel, Christa.</t>
        </is>
      </c>
      <c r="L500" t="inlineStr">
        <is>
          <t>[Lewisburg, Pa.] : Bucknell, 1999.</t>
        </is>
      </c>
      <c r="M500" t="inlineStr">
        <is>
          <t>1999</t>
        </is>
      </c>
      <c r="N500" t="inlineStr">
        <is>
          <t>[Rev. ed.].</t>
        </is>
      </c>
      <c r="O500" t="inlineStr">
        <is>
          <t>eng</t>
        </is>
      </c>
      <c r="P500" t="inlineStr">
        <is>
          <t>pau</t>
        </is>
      </c>
      <c r="R500" t="inlineStr">
        <is>
          <t xml:space="preserve">QD </t>
        </is>
      </c>
      <c r="S500" t="n">
        <v>16</v>
      </c>
      <c r="T500" t="n">
        <v>16</v>
      </c>
      <c r="U500" t="inlineStr">
        <is>
          <t>2009-12-03</t>
        </is>
      </c>
      <c r="V500" t="inlineStr">
        <is>
          <t>2009-12-03</t>
        </is>
      </c>
      <c r="W500" t="inlineStr">
        <is>
          <t>2000-08-08</t>
        </is>
      </c>
      <c r="X500" t="inlineStr">
        <is>
          <t>2000-08-08</t>
        </is>
      </c>
      <c r="Y500" t="n">
        <v>747</v>
      </c>
      <c r="Z500" t="n">
        <v>616</v>
      </c>
      <c r="AA500" t="n">
        <v>657</v>
      </c>
      <c r="AB500" t="n">
        <v>4</v>
      </c>
      <c r="AC500" t="n">
        <v>5</v>
      </c>
      <c r="AD500" t="n">
        <v>34</v>
      </c>
      <c r="AE500" t="n">
        <v>35</v>
      </c>
      <c r="AF500" t="n">
        <v>14</v>
      </c>
      <c r="AG500" t="n">
        <v>14</v>
      </c>
      <c r="AH500" t="n">
        <v>9</v>
      </c>
      <c r="AI500" t="n">
        <v>9</v>
      </c>
      <c r="AJ500" t="n">
        <v>17</v>
      </c>
      <c r="AK500" t="n">
        <v>17</v>
      </c>
      <c r="AL500" t="n">
        <v>3</v>
      </c>
      <c r="AM500" t="n">
        <v>4</v>
      </c>
      <c r="AN500" t="n">
        <v>0</v>
      </c>
      <c r="AO500" t="n">
        <v>0</v>
      </c>
      <c r="AP500" t="inlineStr">
        <is>
          <t>No</t>
        </is>
      </c>
      <c r="AQ500" t="inlineStr">
        <is>
          <t>No</t>
        </is>
      </c>
      <c r="AS500">
        <f>HYPERLINK("https://creighton-primo.hosted.exlibrisgroup.com/primo-explore/search?tab=default_tab&amp;search_scope=EVERYTHING&amp;vid=01CRU&amp;lang=en_US&amp;offset=0&amp;query=any,contains,991003249469702656","Catalog Record")</f>
        <v/>
      </c>
      <c r="AT500">
        <f>HYPERLINK("http://www.worldcat.org/oclc/41655294","WorldCat Record")</f>
        <v/>
      </c>
      <c r="AU500" t="inlineStr">
        <is>
          <t>969763:eng</t>
        </is>
      </c>
      <c r="AV500" t="inlineStr">
        <is>
          <t>41655294</t>
        </is>
      </c>
      <c r="AW500" t="inlineStr">
        <is>
          <t>991003249469702656</t>
        </is>
      </c>
      <c r="AX500" t="inlineStr">
        <is>
          <t>991003249469702656</t>
        </is>
      </c>
      <c r="AY500" t="inlineStr">
        <is>
          <t>2258628440002656</t>
        </is>
      </c>
      <c r="AZ500" t="inlineStr">
        <is>
          <t>BOOK</t>
        </is>
      </c>
      <c r="BB500" t="inlineStr">
        <is>
          <t>9780838754450</t>
        </is>
      </c>
      <c r="BC500" t="inlineStr">
        <is>
          <t>32285003756136</t>
        </is>
      </c>
      <c r="BD500" t="inlineStr">
        <is>
          <t>893317798</t>
        </is>
      </c>
    </row>
    <row r="501">
      <c r="A501" t="inlineStr">
        <is>
          <t>No</t>
        </is>
      </c>
      <c r="B501" t="inlineStr">
        <is>
          <t>QD22.C8 P44 1989</t>
        </is>
      </c>
      <c r="C501" t="inlineStr">
        <is>
          <t>0                      QD 0022000C  8                  P  44          1989</t>
        </is>
      </c>
      <c r="D501" t="inlineStr">
        <is>
          <t>Grand obsession : Madame Curie and her world / Rosalynd Pflaum.</t>
        </is>
      </c>
      <c r="F501" t="inlineStr">
        <is>
          <t>No</t>
        </is>
      </c>
      <c r="G501" t="inlineStr">
        <is>
          <t>1</t>
        </is>
      </c>
      <c r="H501" t="inlineStr">
        <is>
          <t>No</t>
        </is>
      </c>
      <c r="I501" t="inlineStr">
        <is>
          <t>No</t>
        </is>
      </c>
      <c r="J501" t="inlineStr">
        <is>
          <t>0</t>
        </is>
      </c>
      <c r="K501" t="inlineStr">
        <is>
          <t>Pflaum, Rosalynd.</t>
        </is>
      </c>
      <c r="L501" t="inlineStr">
        <is>
          <t>New York : Doubleday, 1989.</t>
        </is>
      </c>
      <c r="M501" t="inlineStr">
        <is>
          <t>1989</t>
        </is>
      </c>
      <c r="N501" t="inlineStr">
        <is>
          <t>1st ed.</t>
        </is>
      </c>
      <c r="O501" t="inlineStr">
        <is>
          <t>eng</t>
        </is>
      </c>
      <c r="P501" t="inlineStr">
        <is>
          <t>nyu</t>
        </is>
      </c>
      <c r="R501" t="inlineStr">
        <is>
          <t xml:space="preserve">QD </t>
        </is>
      </c>
      <c r="S501" t="n">
        <v>12</v>
      </c>
      <c r="T501" t="n">
        <v>12</v>
      </c>
      <c r="U501" t="inlineStr">
        <is>
          <t>1997-10-27</t>
        </is>
      </c>
      <c r="V501" t="inlineStr">
        <is>
          <t>1997-10-27</t>
        </is>
      </c>
      <c r="W501" t="inlineStr">
        <is>
          <t>1989-12-18</t>
        </is>
      </c>
      <c r="X501" t="inlineStr">
        <is>
          <t>1989-12-18</t>
        </is>
      </c>
      <c r="Y501" t="n">
        <v>1163</v>
      </c>
      <c r="Z501" t="n">
        <v>1082</v>
      </c>
      <c r="AA501" t="n">
        <v>1088</v>
      </c>
      <c r="AB501" t="n">
        <v>9</v>
      </c>
      <c r="AC501" t="n">
        <v>9</v>
      </c>
      <c r="AD501" t="n">
        <v>24</v>
      </c>
      <c r="AE501" t="n">
        <v>24</v>
      </c>
      <c r="AF501" t="n">
        <v>9</v>
      </c>
      <c r="AG501" t="n">
        <v>9</v>
      </c>
      <c r="AH501" t="n">
        <v>4</v>
      </c>
      <c r="AI501" t="n">
        <v>4</v>
      </c>
      <c r="AJ501" t="n">
        <v>8</v>
      </c>
      <c r="AK501" t="n">
        <v>8</v>
      </c>
      <c r="AL501" t="n">
        <v>5</v>
      </c>
      <c r="AM501" t="n">
        <v>5</v>
      </c>
      <c r="AN501" t="n">
        <v>0</v>
      </c>
      <c r="AO501" t="n">
        <v>0</v>
      </c>
      <c r="AP501" t="inlineStr">
        <is>
          <t>No</t>
        </is>
      </c>
      <c r="AQ501" t="inlineStr">
        <is>
          <t>Yes</t>
        </is>
      </c>
      <c r="AR501">
        <f>HYPERLINK("http://catalog.hathitrust.org/Record/001945208","HathiTrust Record")</f>
        <v/>
      </c>
      <c r="AS501">
        <f>HYPERLINK("https://creighton-primo.hosted.exlibrisgroup.com/primo-explore/search?tab=default_tab&amp;search_scope=EVERYTHING&amp;vid=01CRU&amp;lang=en_US&amp;offset=0&amp;query=any,contains,991001493269702656","Catalog Record")</f>
        <v/>
      </c>
      <c r="AT501">
        <f>HYPERLINK("http://www.worldcat.org/oclc/19739992","WorldCat Record")</f>
        <v/>
      </c>
      <c r="AU501" t="inlineStr">
        <is>
          <t>476651780:eng</t>
        </is>
      </c>
      <c r="AV501" t="inlineStr">
        <is>
          <t>19739992</t>
        </is>
      </c>
      <c r="AW501" t="inlineStr">
        <is>
          <t>991001493269702656</t>
        </is>
      </c>
      <c r="AX501" t="inlineStr">
        <is>
          <t>991001493269702656</t>
        </is>
      </c>
      <c r="AY501" t="inlineStr">
        <is>
          <t>2259229890002656</t>
        </is>
      </c>
      <c r="AZ501" t="inlineStr">
        <is>
          <t>BOOK</t>
        </is>
      </c>
      <c r="BB501" t="inlineStr">
        <is>
          <t>9780385261357</t>
        </is>
      </c>
      <c r="BC501" t="inlineStr">
        <is>
          <t>32285000018795</t>
        </is>
      </c>
      <c r="BD501" t="inlineStr">
        <is>
          <t>893696790</t>
        </is>
      </c>
    </row>
    <row r="502">
      <c r="A502" t="inlineStr">
        <is>
          <t>No</t>
        </is>
      </c>
      <c r="B502" t="inlineStr">
        <is>
          <t>QD22.C8 Q56 1995</t>
        </is>
      </c>
      <c r="C502" t="inlineStr">
        <is>
          <t>0                      QD 0022000C  8                  Q  56          1995</t>
        </is>
      </c>
      <c r="D502" t="inlineStr">
        <is>
          <t>Marie Curie : a life / Susan Quinn.</t>
        </is>
      </c>
      <c r="F502" t="inlineStr">
        <is>
          <t>No</t>
        </is>
      </c>
      <c r="G502" t="inlineStr">
        <is>
          <t>1</t>
        </is>
      </c>
      <c r="H502" t="inlineStr">
        <is>
          <t>No</t>
        </is>
      </c>
      <c r="I502" t="inlineStr">
        <is>
          <t>No</t>
        </is>
      </c>
      <c r="J502" t="inlineStr">
        <is>
          <t>0</t>
        </is>
      </c>
      <c r="K502" t="inlineStr">
        <is>
          <t>Quinn, Susan.</t>
        </is>
      </c>
      <c r="L502" t="inlineStr">
        <is>
          <t>New York : Simon &amp; Schuster, c1995.</t>
        </is>
      </c>
      <c r="M502" t="inlineStr">
        <is>
          <t>1995</t>
        </is>
      </c>
      <c r="O502" t="inlineStr">
        <is>
          <t>eng</t>
        </is>
      </c>
      <c r="P502" t="inlineStr">
        <is>
          <t>nyu</t>
        </is>
      </c>
      <c r="R502" t="inlineStr">
        <is>
          <t xml:space="preserve">QD </t>
        </is>
      </c>
      <c r="S502" t="n">
        <v>11</v>
      </c>
      <c r="T502" t="n">
        <v>11</v>
      </c>
      <c r="U502" t="inlineStr">
        <is>
          <t>2000-02-29</t>
        </is>
      </c>
      <c r="V502" t="inlineStr">
        <is>
          <t>2000-02-29</t>
        </is>
      </c>
      <c r="W502" t="inlineStr">
        <is>
          <t>1995-08-22</t>
        </is>
      </c>
      <c r="X502" t="inlineStr">
        <is>
          <t>1995-08-22</t>
        </is>
      </c>
      <c r="Y502" t="n">
        <v>1949</v>
      </c>
      <c r="Z502" t="n">
        <v>1821</v>
      </c>
      <c r="AA502" t="n">
        <v>1997</v>
      </c>
      <c r="AB502" t="n">
        <v>18</v>
      </c>
      <c r="AC502" t="n">
        <v>19</v>
      </c>
      <c r="AD502" t="n">
        <v>54</v>
      </c>
      <c r="AE502" t="n">
        <v>57</v>
      </c>
      <c r="AF502" t="n">
        <v>19</v>
      </c>
      <c r="AG502" t="n">
        <v>21</v>
      </c>
      <c r="AH502" t="n">
        <v>8</v>
      </c>
      <c r="AI502" t="n">
        <v>8</v>
      </c>
      <c r="AJ502" t="n">
        <v>24</v>
      </c>
      <c r="AK502" t="n">
        <v>25</v>
      </c>
      <c r="AL502" t="n">
        <v>13</v>
      </c>
      <c r="AM502" t="n">
        <v>14</v>
      </c>
      <c r="AN502" t="n">
        <v>0</v>
      </c>
      <c r="AO502" t="n">
        <v>0</v>
      </c>
      <c r="AP502" t="inlineStr">
        <is>
          <t>No</t>
        </is>
      </c>
      <c r="AQ502" t="inlineStr">
        <is>
          <t>Yes</t>
        </is>
      </c>
      <c r="AR502">
        <f>HYPERLINK("http://catalog.hathitrust.org/Record/002973274","HathiTrust Record")</f>
        <v/>
      </c>
      <c r="AS502">
        <f>HYPERLINK("https://creighton-primo.hosted.exlibrisgroup.com/primo-explore/search?tab=default_tab&amp;search_scope=EVERYTHING&amp;vid=01CRU&amp;lang=en_US&amp;offset=0&amp;query=any,contains,991002422559702656","Catalog Record")</f>
        <v/>
      </c>
      <c r="AT502">
        <f>HYPERLINK("http://www.worldcat.org/oclc/31604678","WorldCat Record")</f>
        <v/>
      </c>
      <c r="AU502" t="inlineStr">
        <is>
          <t>25956604:eng</t>
        </is>
      </c>
      <c r="AV502" t="inlineStr">
        <is>
          <t>31604678</t>
        </is>
      </c>
      <c r="AW502" t="inlineStr">
        <is>
          <t>991002422559702656</t>
        </is>
      </c>
      <c r="AX502" t="inlineStr">
        <is>
          <t>991002422559702656</t>
        </is>
      </c>
      <c r="AY502" t="inlineStr">
        <is>
          <t>2270956740002656</t>
        </is>
      </c>
      <c r="AZ502" t="inlineStr">
        <is>
          <t>BOOK</t>
        </is>
      </c>
      <c r="BB502" t="inlineStr">
        <is>
          <t>9780671675424</t>
        </is>
      </c>
      <c r="BC502" t="inlineStr">
        <is>
          <t>32285002078987</t>
        </is>
      </c>
      <c r="BD502" t="inlineStr">
        <is>
          <t>893421338</t>
        </is>
      </c>
    </row>
    <row r="503">
      <c r="A503" t="inlineStr">
        <is>
          <t>No</t>
        </is>
      </c>
      <c r="B503" t="inlineStr">
        <is>
          <t>QD22.D2 G7 1966a</t>
        </is>
      </c>
      <c r="C503" t="inlineStr">
        <is>
          <t>0                      QD 0022000D  2                  G  7           1966a</t>
        </is>
      </c>
      <c r="D503" t="inlineStr">
        <is>
          <t>John Dalton and the atom.</t>
        </is>
      </c>
      <c r="F503" t="inlineStr">
        <is>
          <t>No</t>
        </is>
      </c>
      <c r="G503" t="inlineStr">
        <is>
          <t>1</t>
        </is>
      </c>
      <c r="H503" t="inlineStr">
        <is>
          <t>No</t>
        </is>
      </c>
      <c r="I503" t="inlineStr">
        <is>
          <t>No</t>
        </is>
      </c>
      <c r="J503" t="inlineStr">
        <is>
          <t>0</t>
        </is>
      </c>
      <c r="K503" t="inlineStr">
        <is>
          <t>Greenaway, Frank.</t>
        </is>
      </c>
      <c r="L503" t="inlineStr">
        <is>
          <t>Ithaca, N.Y. : Cornell University Press, [1966]</t>
        </is>
      </c>
      <c r="M503" t="inlineStr">
        <is>
          <t>1966</t>
        </is>
      </c>
      <c r="O503" t="inlineStr">
        <is>
          <t>eng</t>
        </is>
      </c>
      <c r="P503" t="inlineStr">
        <is>
          <t>nyu</t>
        </is>
      </c>
      <c r="R503" t="inlineStr">
        <is>
          <t xml:space="preserve">QD </t>
        </is>
      </c>
      <c r="S503" t="n">
        <v>7</v>
      </c>
      <c r="T503" t="n">
        <v>7</v>
      </c>
      <c r="U503" t="inlineStr">
        <is>
          <t>1997-03-12</t>
        </is>
      </c>
      <c r="V503" t="inlineStr">
        <is>
          <t>1997-03-12</t>
        </is>
      </c>
      <c r="W503" t="inlineStr">
        <is>
          <t>1993-04-16</t>
        </is>
      </c>
      <c r="X503" t="inlineStr">
        <is>
          <t>1993-04-16</t>
        </is>
      </c>
      <c r="Y503" t="n">
        <v>876</v>
      </c>
      <c r="Z503" t="n">
        <v>827</v>
      </c>
      <c r="AA503" t="n">
        <v>859</v>
      </c>
      <c r="AB503" t="n">
        <v>7</v>
      </c>
      <c r="AC503" t="n">
        <v>7</v>
      </c>
      <c r="AD503" t="n">
        <v>27</v>
      </c>
      <c r="AE503" t="n">
        <v>28</v>
      </c>
      <c r="AF503" t="n">
        <v>6</v>
      </c>
      <c r="AG503" t="n">
        <v>6</v>
      </c>
      <c r="AH503" t="n">
        <v>4</v>
      </c>
      <c r="AI503" t="n">
        <v>5</v>
      </c>
      <c r="AJ503" t="n">
        <v>14</v>
      </c>
      <c r="AK503" t="n">
        <v>15</v>
      </c>
      <c r="AL503" t="n">
        <v>6</v>
      </c>
      <c r="AM503" t="n">
        <v>6</v>
      </c>
      <c r="AN503" t="n">
        <v>0</v>
      </c>
      <c r="AO503" t="n">
        <v>0</v>
      </c>
      <c r="AP503" t="inlineStr">
        <is>
          <t>No</t>
        </is>
      </c>
      <c r="AQ503" t="inlineStr">
        <is>
          <t>Yes</t>
        </is>
      </c>
      <c r="AR503">
        <f>HYPERLINK("http://catalog.hathitrust.org/Record/001486518","HathiTrust Record")</f>
        <v/>
      </c>
      <c r="AS503">
        <f>HYPERLINK("https://creighton-primo.hosted.exlibrisgroup.com/primo-explore/search?tab=default_tab&amp;search_scope=EVERYTHING&amp;vid=01CRU&amp;lang=en_US&amp;offset=0&amp;query=any,contains,991002949339702656","Catalog Record")</f>
        <v/>
      </c>
      <c r="AT503">
        <f>HYPERLINK("http://www.worldcat.org/oclc/538038","WorldCat Record")</f>
        <v/>
      </c>
      <c r="AU503" t="inlineStr">
        <is>
          <t>1561730:eng</t>
        </is>
      </c>
      <c r="AV503" t="inlineStr">
        <is>
          <t>538038</t>
        </is>
      </c>
      <c r="AW503" t="inlineStr">
        <is>
          <t>991002949339702656</t>
        </is>
      </c>
      <c r="AX503" t="inlineStr">
        <is>
          <t>991002949339702656</t>
        </is>
      </c>
      <c r="AY503" t="inlineStr">
        <is>
          <t>2262300280002656</t>
        </is>
      </c>
      <c r="AZ503" t="inlineStr">
        <is>
          <t>BOOK</t>
        </is>
      </c>
      <c r="BC503" t="inlineStr">
        <is>
          <t>32285001621225</t>
        </is>
      </c>
      <c r="BD503" t="inlineStr">
        <is>
          <t>893780432</t>
        </is>
      </c>
    </row>
    <row r="504">
      <c r="A504" t="inlineStr">
        <is>
          <t>No</t>
        </is>
      </c>
      <c r="B504" t="inlineStr">
        <is>
          <t>QD22.D2 S59</t>
        </is>
      </c>
      <c r="C504" t="inlineStr">
        <is>
          <t>0                      QD 0022000D  2                  S  59</t>
        </is>
      </c>
      <c r="D504" t="inlineStr">
        <is>
          <t>John Dalton, 1766-1844 : a bibliography of works by and about him / by A.L. Smyth.</t>
        </is>
      </c>
      <c r="F504" t="inlineStr">
        <is>
          <t>No</t>
        </is>
      </c>
      <c r="G504" t="inlineStr">
        <is>
          <t>1</t>
        </is>
      </c>
      <c r="H504" t="inlineStr">
        <is>
          <t>No</t>
        </is>
      </c>
      <c r="I504" t="inlineStr">
        <is>
          <t>No</t>
        </is>
      </c>
      <c r="J504" t="inlineStr">
        <is>
          <t>0</t>
        </is>
      </c>
      <c r="K504" t="inlineStr">
        <is>
          <t>Smyth, A. L. (Albert Leslie)</t>
        </is>
      </c>
      <c r="L504" t="inlineStr">
        <is>
          <t>Manchester : Manchester U.P., [1966]</t>
        </is>
      </c>
      <c r="M504" t="inlineStr">
        <is>
          <t>1966</t>
        </is>
      </c>
      <c r="O504" t="inlineStr">
        <is>
          <t>eng</t>
        </is>
      </c>
      <c r="P504" t="inlineStr">
        <is>
          <t>enk</t>
        </is>
      </c>
      <c r="R504" t="inlineStr">
        <is>
          <t xml:space="preserve">QD </t>
        </is>
      </c>
      <c r="S504" t="n">
        <v>3</v>
      </c>
      <c r="T504" t="n">
        <v>3</v>
      </c>
      <c r="U504" t="inlineStr">
        <is>
          <t>1997-03-12</t>
        </is>
      </c>
      <c r="V504" t="inlineStr">
        <is>
          <t>1997-03-12</t>
        </is>
      </c>
      <c r="W504" t="inlineStr">
        <is>
          <t>1993-04-16</t>
        </is>
      </c>
      <c r="X504" t="inlineStr">
        <is>
          <t>1993-04-16</t>
        </is>
      </c>
      <c r="Y504" t="n">
        <v>377</v>
      </c>
      <c r="Z504" t="n">
        <v>284</v>
      </c>
      <c r="AA504" t="n">
        <v>332</v>
      </c>
      <c r="AB504" t="n">
        <v>4</v>
      </c>
      <c r="AC504" t="n">
        <v>4</v>
      </c>
      <c r="AD504" t="n">
        <v>13</v>
      </c>
      <c r="AE504" t="n">
        <v>17</v>
      </c>
      <c r="AF504" t="n">
        <v>3</v>
      </c>
      <c r="AG504" t="n">
        <v>4</v>
      </c>
      <c r="AH504" t="n">
        <v>3</v>
      </c>
      <c r="AI504" t="n">
        <v>3</v>
      </c>
      <c r="AJ504" t="n">
        <v>5</v>
      </c>
      <c r="AK504" t="n">
        <v>9</v>
      </c>
      <c r="AL504" t="n">
        <v>3</v>
      </c>
      <c r="AM504" t="n">
        <v>3</v>
      </c>
      <c r="AN504" t="n">
        <v>0</v>
      </c>
      <c r="AO504" t="n">
        <v>0</v>
      </c>
      <c r="AP504" t="inlineStr">
        <is>
          <t>No</t>
        </is>
      </c>
      <c r="AQ504" t="inlineStr">
        <is>
          <t>Yes</t>
        </is>
      </c>
      <c r="AR504">
        <f>HYPERLINK("http://catalog.hathitrust.org/Record/001180237","HathiTrust Record")</f>
        <v/>
      </c>
      <c r="AS504">
        <f>HYPERLINK("https://creighton-primo.hosted.exlibrisgroup.com/primo-explore/search?tab=default_tab&amp;search_scope=EVERYTHING&amp;vid=01CRU&amp;lang=en_US&amp;offset=0&amp;query=any,contains,991003016429702656","Catalog Record")</f>
        <v/>
      </c>
      <c r="AT504">
        <f>HYPERLINK("http://www.worldcat.org/oclc/581182","WorldCat Record")</f>
        <v/>
      </c>
      <c r="AU504" t="inlineStr">
        <is>
          <t>695078:eng</t>
        </is>
      </c>
      <c r="AV504" t="inlineStr">
        <is>
          <t>581182</t>
        </is>
      </c>
      <c r="AW504" t="inlineStr">
        <is>
          <t>991003016429702656</t>
        </is>
      </c>
      <c r="AX504" t="inlineStr">
        <is>
          <t>991003016429702656</t>
        </is>
      </c>
      <c r="AY504" t="inlineStr">
        <is>
          <t>2271601800002656</t>
        </is>
      </c>
      <c r="AZ504" t="inlineStr">
        <is>
          <t>BOOK</t>
        </is>
      </c>
      <c r="BC504" t="inlineStr">
        <is>
          <t>32285001621209</t>
        </is>
      </c>
      <c r="BD504" t="inlineStr">
        <is>
          <t>893704807</t>
        </is>
      </c>
    </row>
    <row r="505">
      <c r="A505" t="inlineStr">
        <is>
          <t>No</t>
        </is>
      </c>
      <c r="B505" t="inlineStr">
        <is>
          <t>QD22.D2 T47</t>
        </is>
      </c>
      <c r="C505" t="inlineStr">
        <is>
          <t>0                      QD 0022000D  2                  T  47</t>
        </is>
      </c>
      <c r="D505" t="inlineStr">
        <is>
          <t>John Dalton : critical assessments of his life and science.</t>
        </is>
      </c>
      <c r="F505" t="inlineStr">
        <is>
          <t>No</t>
        </is>
      </c>
      <c r="G505" t="inlineStr">
        <is>
          <t>1</t>
        </is>
      </c>
      <c r="H505" t="inlineStr">
        <is>
          <t>No</t>
        </is>
      </c>
      <c r="I505" t="inlineStr">
        <is>
          <t>No</t>
        </is>
      </c>
      <c r="J505" t="inlineStr">
        <is>
          <t>0</t>
        </is>
      </c>
      <c r="K505" t="inlineStr">
        <is>
          <t>Thackray, Arnold, 1939-</t>
        </is>
      </c>
      <c r="L505" t="inlineStr">
        <is>
          <t>Cambridge : Harvard University Press, 1972.</t>
        </is>
      </c>
      <c r="M505" t="inlineStr">
        <is>
          <t>1972</t>
        </is>
      </c>
      <c r="O505" t="inlineStr">
        <is>
          <t>eng</t>
        </is>
      </c>
      <c r="P505" t="inlineStr">
        <is>
          <t>mau</t>
        </is>
      </c>
      <c r="Q505" t="inlineStr">
        <is>
          <t>Harvard monographs in the history of science</t>
        </is>
      </c>
      <c r="R505" t="inlineStr">
        <is>
          <t xml:space="preserve">QD </t>
        </is>
      </c>
      <c r="S505" t="n">
        <v>3</v>
      </c>
      <c r="T505" t="n">
        <v>3</v>
      </c>
      <c r="U505" t="inlineStr">
        <is>
          <t>1997-03-12</t>
        </is>
      </c>
      <c r="V505" t="inlineStr">
        <is>
          <t>1997-03-12</t>
        </is>
      </c>
      <c r="W505" t="inlineStr">
        <is>
          <t>1993-04-16</t>
        </is>
      </c>
      <c r="X505" t="inlineStr">
        <is>
          <t>1993-04-16</t>
        </is>
      </c>
      <c r="Y505" t="n">
        <v>541</v>
      </c>
      <c r="Z505" t="n">
        <v>437</v>
      </c>
      <c r="AA505" t="n">
        <v>455</v>
      </c>
      <c r="AB505" t="n">
        <v>3</v>
      </c>
      <c r="AC505" t="n">
        <v>3</v>
      </c>
      <c r="AD505" t="n">
        <v>18</v>
      </c>
      <c r="AE505" t="n">
        <v>19</v>
      </c>
      <c r="AF505" t="n">
        <v>5</v>
      </c>
      <c r="AG505" t="n">
        <v>6</v>
      </c>
      <c r="AH505" t="n">
        <v>5</v>
      </c>
      <c r="AI505" t="n">
        <v>5</v>
      </c>
      <c r="AJ505" t="n">
        <v>10</v>
      </c>
      <c r="AK505" t="n">
        <v>10</v>
      </c>
      <c r="AL505" t="n">
        <v>2</v>
      </c>
      <c r="AM505" t="n">
        <v>2</v>
      </c>
      <c r="AN505" t="n">
        <v>0</v>
      </c>
      <c r="AO505" t="n">
        <v>0</v>
      </c>
      <c r="AP505" t="inlineStr">
        <is>
          <t>No</t>
        </is>
      </c>
      <c r="AQ505" t="inlineStr">
        <is>
          <t>Yes</t>
        </is>
      </c>
      <c r="AR505">
        <f>HYPERLINK("http://catalog.hathitrust.org/Record/001486523","HathiTrust Record")</f>
        <v/>
      </c>
      <c r="AS505">
        <f>HYPERLINK("https://creighton-primo.hosted.exlibrisgroup.com/primo-explore/search?tab=default_tab&amp;search_scope=EVERYTHING&amp;vid=01CRU&amp;lang=en_US&amp;offset=0&amp;query=any,contains,991002896929702656","Catalog Record")</f>
        <v/>
      </c>
      <c r="AT505">
        <f>HYPERLINK("http://www.worldcat.org/oclc/514656","WorldCat Record")</f>
        <v/>
      </c>
      <c r="AU505" t="inlineStr">
        <is>
          <t>1487924:eng</t>
        </is>
      </c>
      <c r="AV505" t="inlineStr">
        <is>
          <t>514656</t>
        </is>
      </c>
      <c r="AW505" t="inlineStr">
        <is>
          <t>991002896929702656</t>
        </is>
      </c>
      <c r="AX505" t="inlineStr">
        <is>
          <t>991002896929702656</t>
        </is>
      </c>
      <c r="AY505" t="inlineStr">
        <is>
          <t>2262039210002656</t>
        </is>
      </c>
      <c r="AZ505" t="inlineStr">
        <is>
          <t>BOOK</t>
        </is>
      </c>
      <c r="BB505" t="inlineStr">
        <is>
          <t>9780674475250</t>
        </is>
      </c>
      <c r="BC505" t="inlineStr">
        <is>
          <t>32285001621191</t>
        </is>
      </c>
      <c r="BD505" t="inlineStr">
        <is>
          <t>893434421</t>
        </is>
      </c>
    </row>
    <row r="506">
      <c r="A506" t="inlineStr">
        <is>
          <t>No</t>
        </is>
      </c>
      <c r="B506" t="inlineStr">
        <is>
          <t>QD22.D3 K65 1992</t>
        </is>
      </c>
      <c r="C506" t="inlineStr">
        <is>
          <t>0                      QD 0022000D  3                  K  65          1992</t>
        </is>
      </c>
      <c r="D506" t="inlineStr">
        <is>
          <t>Humphry Davy : science &amp; power / David Knight.</t>
        </is>
      </c>
      <c r="F506" t="inlineStr">
        <is>
          <t>No</t>
        </is>
      </c>
      <c r="G506" t="inlineStr">
        <is>
          <t>1</t>
        </is>
      </c>
      <c r="H506" t="inlineStr">
        <is>
          <t>No</t>
        </is>
      </c>
      <c r="I506" t="inlineStr">
        <is>
          <t>No</t>
        </is>
      </c>
      <c r="J506" t="inlineStr">
        <is>
          <t>0</t>
        </is>
      </c>
      <c r="K506" t="inlineStr">
        <is>
          <t>Knight, David M.</t>
        </is>
      </c>
      <c r="L506" t="inlineStr">
        <is>
          <t>Oxford, UK ; Cambridge, USA : Blackwell, 1992.</t>
        </is>
      </c>
      <c r="M506" t="inlineStr">
        <is>
          <t>1992</t>
        </is>
      </c>
      <c r="O506" t="inlineStr">
        <is>
          <t>eng</t>
        </is>
      </c>
      <c r="P506" t="inlineStr">
        <is>
          <t>enk</t>
        </is>
      </c>
      <c r="Q506" t="inlineStr">
        <is>
          <t>Blackwell science biographies</t>
        </is>
      </c>
      <c r="R506" t="inlineStr">
        <is>
          <t xml:space="preserve">QD </t>
        </is>
      </c>
      <c r="S506" t="n">
        <v>3</v>
      </c>
      <c r="T506" t="n">
        <v>3</v>
      </c>
      <c r="U506" t="inlineStr">
        <is>
          <t>1998-09-08</t>
        </is>
      </c>
      <c r="V506" t="inlineStr">
        <is>
          <t>1998-09-08</t>
        </is>
      </c>
      <c r="W506" t="inlineStr">
        <is>
          <t>1994-01-13</t>
        </is>
      </c>
      <c r="X506" t="inlineStr">
        <is>
          <t>1994-01-13</t>
        </is>
      </c>
      <c r="Y506" t="n">
        <v>361</v>
      </c>
      <c r="Z506" t="n">
        <v>293</v>
      </c>
      <c r="AA506" t="n">
        <v>377</v>
      </c>
      <c r="AB506" t="n">
        <v>2</v>
      </c>
      <c r="AC506" t="n">
        <v>2</v>
      </c>
      <c r="AD506" t="n">
        <v>17</v>
      </c>
      <c r="AE506" t="n">
        <v>20</v>
      </c>
      <c r="AF506" t="n">
        <v>3</v>
      </c>
      <c r="AG506" t="n">
        <v>5</v>
      </c>
      <c r="AH506" t="n">
        <v>6</v>
      </c>
      <c r="AI506" t="n">
        <v>6</v>
      </c>
      <c r="AJ506" t="n">
        <v>11</v>
      </c>
      <c r="AK506" t="n">
        <v>13</v>
      </c>
      <c r="AL506" t="n">
        <v>1</v>
      </c>
      <c r="AM506" t="n">
        <v>1</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HYPERLINK("https://creighton-primo.hosted.exlibrisgroup.com/primo-explore/search?tab=default_tab&amp;search_scope=EVERYTHING&amp;vid=01CRU&amp;lang=en_US&amp;offset=0&amp;query=any,contains,991002014009702656","Catalog Record")</f>
        <v/>
      </c>
      <c r="AT506">
        <f>HYPERLINK("http://www.worldcat.org/oclc/25630004","WorldCat Record")</f>
        <v/>
      </c>
      <c r="AU506" t="inlineStr">
        <is>
          <t>795014976:eng</t>
        </is>
      </c>
      <c r="AV506" t="inlineStr">
        <is>
          <t>25630004</t>
        </is>
      </c>
      <c r="AW506" t="inlineStr">
        <is>
          <t>991002014009702656</t>
        </is>
      </c>
      <c r="AX506" t="inlineStr">
        <is>
          <t>991002014009702656</t>
        </is>
      </c>
      <c r="AY506" t="inlineStr">
        <is>
          <t>2266968740002656</t>
        </is>
      </c>
      <c r="AZ506" t="inlineStr">
        <is>
          <t>BOOK</t>
        </is>
      </c>
      <c r="BB506" t="inlineStr">
        <is>
          <t>9780631168164</t>
        </is>
      </c>
      <c r="BC506" t="inlineStr">
        <is>
          <t>32285001831410</t>
        </is>
      </c>
      <c r="BD506" t="inlineStr">
        <is>
          <t>893232458</t>
        </is>
      </c>
    </row>
    <row r="507">
      <c r="A507" t="inlineStr">
        <is>
          <t>No</t>
        </is>
      </c>
      <c r="B507" t="inlineStr">
        <is>
          <t>QD22.D63 A3 1992</t>
        </is>
      </c>
      <c r="C507" t="inlineStr">
        <is>
          <t>0                      QD 0022000D  63                 A  3           1992</t>
        </is>
      </c>
      <c r="D507" t="inlineStr">
        <is>
          <t>The pill, pygmy chimps, and Degas' horse : the autobiography of Carl Djerassi.</t>
        </is>
      </c>
      <c r="F507" t="inlineStr">
        <is>
          <t>No</t>
        </is>
      </c>
      <c r="G507" t="inlineStr">
        <is>
          <t>1</t>
        </is>
      </c>
      <c r="H507" t="inlineStr">
        <is>
          <t>No</t>
        </is>
      </c>
      <c r="I507" t="inlineStr">
        <is>
          <t>No</t>
        </is>
      </c>
      <c r="J507" t="inlineStr">
        <is>
          <t>0</t>
        </is>
      </c>
      <c r="K507" t="inlineStr">
        <is>
          <t>Djerassi, Carl.</t>
        </is>
      </c>
      <c r="L507" t="inlineStr">
        <is>
          <t>New York : Basic Books, c1992.</t>
        </is>
      </c>
      <c r="M507" t="inlineStr">
        <is>
          <t>1992</t>
        </is>
      </c>
      <c r="O507" t="inlineStr">
        <is>
          <t>eng</t>
        </is>
      </c>
      <c r="P507" t="inlineStr">
        <is>
          <t>nyu</t>
        </is>
      </c>
      <c r="R507" t="inlineStr">
        <is>
          <t xml:space="preserve">QD </t>
        </is>
      </c>
      <c r="S507" t="n">
        <v>7</v>
      </c>
      <c r="T507" t="n">
        <v>7</v>
      </c>
      <c r="U507" t="inlineStr">
        <is>
          <t>1999-02-17</t>
        </is>
      </c>
      <c r="V507" t="inlineStr">
        <is>
          <t>1999-02-17</t>
        </is>
      </c>
      <c r="W507" t="inlineStr">
        <is>
          <t>1992-10-15</t>
        </is>
      </c>
      <c r="X507" t="inlineStr">
        <is>
          <t>1992-10-15</t>
        </is>
      </c>
      <c r="Y507" t="n">
        <v>839</v>
      </c>
      <c r="Z507" t="n">
        <v>738</v>
      </c>
      <c r="AA507" t="n">
        <v>744</v>
      </c>
      <c r="AB507" t="n">
        <v>5</v>
      </c>
      <c r="AC507" t="n">
        <v>5</v>
      </c>
      <c r="AD507" t="n">
        <v>28</v>
      </c>
      <c r="AE507" t="n">
        <v>28</v>
      </c>
      <c r="AF507" t="n">
        <v>11</v>
      </c>
      <c r="AG507" t="n">
        <v>11</v>
      </c>
      <c r="AH507" t="n">
        <v>6</v>
      </c>
      <c r="AI507" t="n">
        <v>6</v>
      </c>
      <c r="AJ507" t="n">
        <v>16</v>
      </c>
      <c r="AK507" t="n">
        <v>16</v>
      </c>
      <c r="AL507" t="n">
        <v>4</v>
      </c>
      <c r="AM507" t="n">
        <v>4</v>
      </c>
      <c r="AN507" t="n">
        <v>0</v>
      </c>
      <c r="AO507" t="n">
        <v>0</v>
      </c>
      <c r="AP507" t="inlineStr">
        <is>
          <t>No</t>
        </is>
      </c>
      <c r="AQ507" t="inlineStr">
        <is>
          <t>Yes</t>
        </is>
      </c>
      <c r="AR507">
        <f>HYPERLINK("http://catalog.hathitrust.org/Record/002643100","HathiTrust Record")</f>
        <v/>
      </c>
      <c r="AS507">
        <f>HYPERLINK("https://creighton-primo.hosted.exlibrisgroup.com/primo-explore/search?tab=default_tab&amp;search_scope=EVERYTHING&amp;vid=01CRU&amp;lang=en_US&amp;offset=0&amp;query=any,contains,991001974339702656","Catalog Record")</f>
        <v/>
      </c>
      <c r="AT507">
        <f>HYPERLINK("http://www.worldcat.org/oclc/25026791","WorldCat Record")</f>
        <v/>
      </c>
      <c r="AU507" t="inlineStr">
        <is>
          <t>339915:eng</t>
        </is>
      </c>
      <c r="AV507" t="inlineStr">
        <is>
          <t>25026791</t>
        </is>
      </c>
      <c r="AW507" t="inlineStr">
        <is>
          <t>991001974339702656</t>
        </is>
      </c>
      <c r="AX507" t="inlineStr">
        <is>
          <t>991001974339702656</t>
        </is>
      </c>
      <c r="AY507" t="inlineStr">
        <is>
          <t>2262266710002656</t>
        </is>
      </c>
      <c r="AZ507" t="inlineStr">
        <is>
          <t>BOOK</t>
        </is>
      </c>
      <c r="BB507" t="inlineStr">
        <is>
          <t>9780465057597</t>
        </is>
      </c>
      <c r="BC507" t="inlineStr">
        <is>
          <t>32285001318350</t>
        </is>
      </c>
      <c r="BD507" t="inlineStr">
        <is>
          <t>893621770</t>
        </is>
      </c>
    </row>
    <row r="508">
      <c r="A508" t="inlineStr">
        <is>
          <t>No</t>
        </is>
      </c>
      <c r="B508" t="inlineStr">
        <is>
          <t>QD22.G35 C76</t>
        </is>
      </c>
      <c r="C508" t="inlineStr">
        <is>
          <t>0                      QD 0022000G  35                 C  76</t>
        </is>
      </c>
      <c r="D508" t="inlineStr">
        <is>
          <t>Gay-Lussac, scientist and bourgeois / Maurice Crosland.</t>
        </is>
      </c>
      <c r="F508" t="inlineStr">
        <is>
          <t>No</t>
        </is>
      </c>
      <c r="G508" t="inlineStr">
        <is>
          <t>1</t>
        </is>
      </c>
      <c r="H508" t="inlineStr">
        <is>
          <t>No</t>
        </is>
      </c>
      <c r="I508" t="inlineStr">
        <is>
          <t>No</t>
        </is>
      </c>
      <c r="J508" t="inlineStr">
        <is>
          <t>0</t>
        </is>
      </c>
      <c r="K508" t="inlineStr">
        <is>
          <t>Crosland, Maurice P.</t>
        </is>
      </c>
      <c r="L508" t="inlineStr">
        <is>
          <t>Cambridge ; New York : Cambridge University Press, 1978.</t>
        </is>
      </c>
      <c r="M508" t="inlineStr">
        <is>
          <t>1978</t>
        </is>
      </c>
      <c r="O508" t="inlineStr">
        <is>
          <t>eng</t>
        </is>
      </c>
      <c r="P508" t="inlineStr">
        <is>
          <t>mau</t>
        </is>
      </c>
      <c r="R508" t="inlineStr">
        <is>
          <t xml:space="preserve">QD </t>
        </is>
      </c>
      <c r="S508" t="n">
        <v>3</v>
      </c>
      <c r="T508" t="n">
        <v>3</v>
      </c>
      <c r="U508" t="inlineStr">
        <is>
          <t>2003-07-28</t>
        </is>
      </c>
      <c r="V508" t="inlineStr">
        <is>
          <t>2003-07-28</t>
        </is>
      </c>
      <c r="W508" t="inlineStr">
        <is>
          <t>1993-01-14</t>
        </is>
      </c>
      <c r="X508" t="inlineStr">
        <is>
          <t>1993-01-14</t>
        </is>
      </c>
      <c r="Y508" t="n">
        <v>448</v>
      </c>
      <c r="Z508" t="n">
        <v>321</v>
      </c>
      <c r="AA508" t="n">
        <v>349</v>
      </c>
      <c r="AB508" t="n">
        <v>3</v>
      </c>
      <c r="AC508" t="n">
        <v>3</v>
      </c>
      <c r="AD508" t="n">
        <v>14</v>
      </c>
      <c r="AE508" t="n">
        <v>14</v>
      </c>
      <c r="AF508" t="n">
        <v>4</v>
      </c>
      <c r="AG508" t="n">
        <v>4</v>
      </c>
      <c r="AH508" t="n">
        <v>4</v>
      </c>
      <c r="AI508" t="n">
        <v>4</v>
      </c>
      <c r="AJ508" t="n">
        <v>7</v>
      </c>
      <c r="AK508" t="n">
        <v>7</v>
      </c>
      <c r="AL508" t="n">
        <v>2</v>
      </c>
      <c r="AM508" t="n">
        <v>2</v>
      </c>
      <c r="AN508" t="n">
        <v>0</v>
      </c>
      <c r="AO508" t="n">
        <v>0</v>
      </c>
      <c r="AP508" t="inlineStr">
        <is>
          <t>No</t>
        </is>
      </c>
      <c r="AQ508" t="inlineStr">
        <is>
          <t>No</t>
        </is>
      </c>
      <c r="AS508">
        <f>HYPERLINK("https://creighton-primo.hosted.exlibrisgroup.com/primo-explore/search?tab=default_tab&amp;search_scope=EVERYTHING&amp;vid=01CRU&amp;lang=en_US&amp;offset=0&amp;query=any,contains,991004483659702656","Catalog Record")</f>
        <v/>
      </c>
      <c r="AT508">
        <f>HYPERLINK("http://www.worldcat.org/oclc/3631308","WorldCat Record")</f>
        <v/>
      </c>
      <c r="AU508" t="inlineStr">
        <is>
          <t>908534:eng</t>
        </is>
      </c>
      <c r="AV508" t="inlineStr">
        <is>
          <t>3631308</t>
        </is>
      </c>
      <c r="AW508" t="inlineStr">
        <is>
          <t>991004483659702656</t>
        </is>
      </c>
      <c r="AX508" t="inlineStr">
        <is>
          <t>991004483659702656</t>
        </is>
      </c>
      <c r="AY508" t="inlineStr">
        <is>
          <t>2259405120002656</t>
        </is>
      </c>
      <c r="AZ508" t="inlineStr">
        <is>
          <t>BOOK</t>
        </is>
      </c>
      <c r="BB508" t="inlineStr">
        <is>
          <t>9780521219792</t>
        </is>
      </c>
      <c r="BC508" t="inlineStr">
        <is>
          <t>32285001399517</t>
        </is>
      </c>
      <c r="BD508" t="inlineStr">
        <is>
          <t>893782293</t>
        </is>
      </c>
    </row>
    <row r="509">
      <c r="A509" t="inlineStr">
        <is>
          <t>No</t>
        </is>
      </c>
      <c r="B509" t="inlineStr">
        <is>
          <t>QD22.H15 C48 2005</t>
        </is>
      </c>
      <c r="C509" t="inlineStr">
        <is>
          <t>0                      QD 0022000H  15                 C  48          2005</t>
        </is>
      </c>
      <c r="D509" t="inlineStr">
        <is>
          <t>Master mind : the rise and fall of Fritz Haber, the Nobel laureate who launched the age of chemical warfare / Daniel Charles.</t>
        </is>
      </c>
      <c r="F509" t="inlineStr">
        <is>
          <t>No</t>
        </is>
      </c>
      <c r="G509" t="inlineStr">
        <is>
          <t>1</t>
        </is>
      </c>
      <c r="H509" t="inlineStr">
        <is>
          <t>No</t>
        </is>
      </c>
      <c r="I509" t="inlineStr">
        <is>
          <t>No</t>
        </is>
      </c>
      <c r="J509" t="inlineStr">
        <is>
          <t>0</t>
        </is>
      </c>
      <c r="K509" t="inlineStr">
        <is>
          <t>Charles, Daniel, 1960-</t>
        </is>
      </c>
      <c r="L509" t="inlineStr">
        <is>
          <t>New York : Ecco, c2005.</t>
        </is>
      </c>
      <c r="M509" t="inlineStr">
        <is>
          <t>2005</t>
        </is>
      </c>
      <c r="N509" t="inlineStr">
        <is>
          <t>1st ed.</t>
        </is>
      </c>
      <c r="O509" t="inlineStr">
        <is>
          <t>eng</t>
        </is>
      </c>
      <c r="P509" t="inlineStr">
        <is>
          <t>nyu</t>
        </is>
      </c>
      <c r="R509" t="inlineStr">
        <is>
          <t xml:space="preserve">QD </t>
        </is>
      </c>
      <c r="S509" t="n">
        <v>1</v>
      </c>
      <c r="T509" t="n">
        <v>1</v>
      </c>
      <c r="U509" t="inlineStr">
        <is>
          <t>2005-10-04</t>
        </is>
      </c>
      <c r="V509" t="inlineStr">
        <is>
          <t>2005-10-04</t>
        </is>
      </c>
      <c r="W509" t="inlineStr">
        <is>
          <t>2005-10-04</t>
        </is>
      </c>
      <c r="X509" t="inlineStr">
        <is>
          <t>2005-10-04</t>
        </is>
      </c>
      <c r="Y509" t="n">
        <v>650</v>
      </c>
      <c r="Z509" t="n">
        <v>591</v>
      </c>
      <c r="AA509" t="n">
        <v>615</v>
      </c>
      <c r="AB509" t="n">
        <v>3</v>
      </c>
      <c r="AC509" t="n">
        <v>3</v>
      </c>
      <c r="AD509" t="n">
        <v>22</v>
      </c>
      <c r="AE509" t="n">
        <v>22</v>
      </c>
      <c r="AF509" t="n">
        <v>10</v>
      </c>
      <c r="AG509" t="n">
        <v>10</v>
      </c>
      <c r="AH509" t="n">
        <v>3</v>
      </c>
      <c r="AI509" t="n">
        <v>3</v>
      </c>
      <c r="AJ509" t="n">
        <v>11</v>
      </c>
      <c r="AK509" t="n">
        <v>11</v>
      </c>
      <c r="AL509" t="n">
        <v>2</v>
      </c>
      <c r="AM509" t="n">
        <v>2</v>
      </c>
      <c r="AN509" t="n">
        <v>0</v>
      </c>
      <c r="AO509" t="n">
        <v>0</v>
      </c>
      <c r="AP509" t="inlineStr">
        <is>
          <t>No</t>
        </is>
      </c>
      <c r="AQ509" t="inlineStr">
        <is>
          <t>No</t>
        </is>
      </c>
      <c r="AS509">
        <f>HYPERLINK("https://creighton-primo.hosted.exlibrisgroup.com/primo-explore/search?tab=default_tab&amp;search_scope=EVERYTHING&amp;vid=01CRU&amp;lang=en_US&amp;offset=0&amp;query=any,contains,991004646409702656","Catalog Record")</f>
        <v/>
      </c>
      <c r="AT509">
        <f>HYPERLINK("http://www.worldcat.org/oclc/56686582","WorldCat Record")</f>
        <v/>
      </c>
      <c r="AU509" t="inlineStr">
        <is>
          <t>502478485:eng</t>
        </is>
      </c>
      <c r="AV509" t="inlineStr">
        <is>
          <t>56686582</t>
        </is>
      </c>
      <c r="AW509" t="inlineStr">
        <is>
          <t>991004646409702656</t>
        </is>
      </c>
      <c r="AX509" t="inlineStr">
        <is>
          <t>991004646409702656</t>
        </is>
      </c>
      <c r="AY509" t="inlineStr">
        <is>
          <t>2272216060002656</t>
        </is>
      </c>
      <c r="AZ509" t="inlineStr">
        <is>
          <t>BOOK</t>
        </is>
      </c>
      <c r="BB509" t="inlineStr">
        <is>
          <t>9780060562724</t>
        </is>
      </c>
      <c r="BC509" t="inlineStr">
        <is>
          <t>32285005087266</t>
        </is>
      </c>
      <c r="BD509" t="inlineStr">
        <is>
          <t>893446316</t>
        </is>
      </c>
    </row>
    <row r="510">
      <c r="A510" t="inlineStr">
        <is>
          <t>No</t>
        </is>
      </c>
      <c r="B510" t="inlineStr">
        <is>
          <t>QD22.L4 H65 1998</t>
        </is>
      </c>
      <c r="C510" t="inlineStr">
        <is>
          <t>0                      QD 0022000L  4                  H  65          1998</t>
        </is>
      </c>
      <c r="D510" t="inlineStr">
        <is>
          <t>Antoine Lavoisier, the next crucial year, or The sources of his quantitative method in chemistry / Frederic Lawrence Holmes.</t>
        </is>
      </c>
      <c r="F510" t="inlineStr">
        <is>
          <t>No</t>
        </is>
      </c>
      <c r="G510" t="inlineStr">
        <is>
          <t>1</t>
        </is>
      </c>
      <c r="H510" t="inlineStr">
        <is>
          <t>No</t>
        </is>
      </c>
      <c r="I510" t="inlineStr">
        <is>
          <t>No</t>
        </is>
      </c>
      <c r="J510" t="inlineStr">
        <is>
          <t>0</t>
        </is>
      </c>
      <c r="K510" t="inlineStr">
        <is>
          <t>Holmes, Frederic Lawrence.</t>
        </is>
      </c>
      <c r="L510" t="inlineStr">
        <is>
          <t>Princeton, N.J. : Princeton University Press, c1998.</t>
        </is>
      </c>
      <c r="M510" t="inlineStr">
        <is>
          <t>1998</t>
        </is>
      </c>
      <c r="O510" t="inlineStr">
        <is>
          <t>eng</t>
        </is>
      </c>
      <c r="P510" t="inlineStr">
        <is>
          <t>nju</t>
        </is>
      </c>
      <c r="R510" t="inlineStr">
        <is>
          <t xml:space="preserve">QD </t>
        </is>
      </c>
      <c r="S510" t="n">
        <v>4</v>
      </c>
      <c r="T510" t="n">
        <v>4</v>
      </c>
      <c r="U510" t="inlineStr">
        <is>
          <t>2004-12-20</t>
        </is>
      </c>
      <c r="V510" t="inlineStr">
        <is>
          <t>2004-12-20</t>
        </is>
      </c>
      <c r="W510" t="inlineStr">
        <is>
          <t>1999-02-01</t>
        </is>
      </c>
      <c r="X510" t="inlineStr">
        <is>
          <t>1999-02-01</t>
        </is>
      </c>
      <c r="Y510" t="n">
        <v>354</v>
      </c>
      <c r="Z510" t="n">
        <v>296</v>
      </c>
      <c r="AA510" t="n">
        <v>541</v>
      </c>
      <c r="AB510" t="n">
        <v>2</v>
      </c>
      <c r="AC510" t="n">
        <v>5</v>
      </c>
      <c r="AD510" t="n">
        <v>16</v>
      </c>
      <c r="AE510" t="n">
        <v>28</v>
      </c>
      <c r="AF510" t="n">
        <v>4</v>
      </c>
      <c r="AG510" t="n">
        <v>11</v>
      </c>
      <c r="AH510" t="n">
        <v>4</v>
      </c>
      <c r="AI510" t="n">
        <v>7</v>
      </c>
      <c r="AJ510" t="n">
        <v>11</v>
      </c>
      <c r="AK510" t="n">
        <v>14</v>
      </c>
      <c r="AL510" t="n">
        <v>1</v>
      </c>
      <c r="AM510" t="n">
        <v>3</v>
      </c>
      <c r="AN510" t="n">
        <v>0</v>
      </c>
      <c r="AO510" t="n">
        <v>0</v>
      </c>
      <c r="AP510" t="inlineStr">
        <is>
          <t>No</t>
        </is>
      </c>
      <c r="AQ510" t="inlineStr">
        <is>
          <t>No</t>
        </is>
      </c>
      <c r="AS510">
        <f>HYPERLINK("https://creighton-primo.hosted.exlibrisgroup.com/primo-explore/search?tab=default_tab&amp;search_scope=EVERYTHING&amp;vid=01CRU&amp;lang=en_US&amp;offset=0&amp;query=any,contains,991002795089702656","Catalog Record")</f>
        <v/>
      </c>
      <c r="AT510">
        <f>HYPERLINK("http://www.worldcat.org/oclc/36713204","WorldCat Record")</f>
        <v/>
      </c>
      <c r="AU510" t="inlineStr">
        <is>
          <t>576099:eng</t>
        </is>
      </c>
      <c r="AV510" t="inlineStr">
        <is>
          <t>36713204</t>
        </is>
      </c>
      <c r="AW510" t="inlineStr">
        <is>
          <t>991002795089702656</t>
        </is>
      </c>
      <c r="AX510" t="inlineStr">
        <is>
          <t>991002795089702656</t>
        </is>
      </c>
      <c r="AY510" t="inlineStr">
        <is>
          <t>2262454140002656</t>
        </is>
      </c>
      <c r="AZ510" t="inlineStr">
        <is>
          <t>BOOK</t>
        </is>
      </c>
      <c r="BB510" t="inlineStr">
        <is>
          <t>9780691016870</t>
        </is>
      </c>
      <c r="BC510" t="inlineStr">
        <is>
          <t>32285003517389</t>
        </is>
      </c>
      <c r="BD510" t="inlineStr">
        <is>
          <t>893893012</t>
        </is>
      </c>
    </row>
    <row r="511">
      <c r="A511" t="inlineStr">
        <is>
          <t>No</t>
        </is>
      </c>
      <c r="B511" t="inlineStr">
        <is>
          <t>QD22.L4 M32 1980</t>
        </is>
      </c>
      <c r="C511" t="inlineStr">
        <is>
          <t>0                      QD 0022000L  4                  M  32          1980</t>
        </is>
      </c>
      <c r="D511" t="inlineStr">
        <is>
          <t>Antoine Lavoisier : scientist, economist, social reformer / Douglas McKie.</t>
        </is>
      </c>
      <c r="F511" t="inlineStr">
        <is>
          <t>No</t>
        </is>
      </c>
      <c r="G511" t="inlineStr">
        <is>
          <t>1</t>
        </is>
      </c>
      <c r="H511" t="inlineStr">
        <is>
          <t>No</t>
        </is>
      </c>
      <c r="I511" t="inlineStr">
        <is>
          <t>No</t>
        </is>
      </c>
      <c r="J511" t="inlineStr">
        <is>
          <t>0</t>
        </is>
      </c>
      <c r="K511" t="inlineStr">
        <is>
          <t>McKie, Douglas.</t>
        </is>
      </c>
      <c r="L511" t="inlineStr">
        <is>
          <t>New York, N.Y. : Da Capo Press, c1980.</t>
        </is>
      </c>
      <c r="M511" t="inlineStr">
        <is>
          <t>1980</t>
        </is>
      </c>
      <c r="O511" t="inlineStr">
        <is>
          <t>eng</t>
        </is>
      </c>
      <c r="P511" t="inlineStr">
        <is>
          <t>nyu</t>
        </is>
      </c>
      <c r="Q511" t="inlineStr">
        <is>
          <t>Da Capo series in science</t>
        </is>
      </c>
      <c r="R511" t="inlineStr">
        <is>
          <t xml:space="preserve">QD </t>
        </is>
      </c>
      <c r="S511" t="n">
        <v>6</v>
      </c>
      <c r="T511" t="n">
        <v>6</v>
      </c>
      <c r="U511" t="inlineStr">
        <is>
          <t>2005-04-29</t>
        </is>
      </c>
      <c r="V511" t="inlineStr">
        <is>
          <t>2005-04-29</t>
        </is>
      </c>
      <c r="W511" t="inlineStr">
        <is>
          <t>1991-08-26</t>
        </is>
      </c>
      <c r="X511" t="inlineStr">
        <is>
          <t>1991-08-26</t>
        </is>
      </c>
      <c r="Y511" t="n">
        <v>30</v>
      </c>
      <c r="Z511" t="n">
        <v>24</v>
      </c>
      <c r="AA511" t="n">
        <v>702</v>
      </c>
      <c r="AB511" t="n">
        <v>1</v>
      </c>
      <c r="AC511" t="n">
        <v>5</v>
      </c>
      <c r="AD511" t="n">
        <v>1</v>
      </c>
      <c r="AE511" t="n">
        <v>25</v>
      </c>
      <c r="AF511" t="n">
        <v>0</v>
      </c>
      <c r="AG511" t="n">
        <v>9</v>
      </c>
      <c r="AH511" t="n">
        <v>1</v>
      </c>
      <c r="AI511" t="n">
        <v>5</v>
      </c>
      <c r="AJ511" t="n">
        <v>0</v>
      </c>
      <c r="AK511" t="n">
        <v>12</v>
      </c>
      <c r="AL511" t="n">
        <v>0</v>
      </c>
      <c r="AM511" t="n">
        <v>4</v>
      </c>
      <c r="AN511" t="n">
        <v>0</v>
      </c>
      <c r="AO511" t="n">
        <v>0</v>
      </c>
      <c r="AP511" t="inlineStr">
        <is>
          <t>No</t>
        </is>
      </c>
      <c r="AQ511" t="inlineStr">
        <is>
          <t>No</t>
        </is>
      </c>
      <c r="AS511">
        <f>HYPERLINK("https://creighton-primo.hosted.exlibrisgroup.com/primo-explore/search?tab=default_tab&amp;search_scope=EVERYTHING&amp;vid=01CRU&amp;lang=en_US&amp;offset=0&amp;query=any,contains,991001709789702656","Catalog Record")</f>
        <v/>
      </c>
      <c r="AT511">
        <f>HYPERLINK("http://www.worldcat.org/oclc/21594577","WorldCat Record")</f>
        <v/>
      </c>
      <c r="AU511" t="inlineStr">
        <is>
          <t>8102056:eng</t>
        </is>
      </c>
      <c r="AV511" t="inlineStr">
        <is>
          <t>21594577</t>
        </is>
      </c>
      <c r="AW511" t="inlineStr">
        <is>
          <t>991001709789702656</t>
        </is>
      </c>
      <c r="AX511" t="inlineStr">
        <is>
          <t>991001709789702656</t>
        </is>
      </c>
      <c r="AY511" t="inlineStr">
        <is>
          <t>2257062650002656</t>
        </is>
      </c>
      <c r="AZ511" t="inlineStr">
        <is>
          <t>BOOK</t>
        </is>
      </c>
      <c r="BB511" t="inlineStr">
        <is>
          <t>9780306804083</t>
        </is>
      </c>
      <c r="BC511" t="inlineStr">
        <is>
          <t>32285000702067</t>
        </is>
      </c>
      <c r="BD511" t="inlineStr">
        <is>
          <t>893315983</t>
        </is>
      </c>
    </row>
    <row r="512">
      <c r="A512" t="inlineStr">
        <is>
          <t>No</t>
        </is>
      </c>
      <c r="B512" t="inlineStr">
        <is>
          <t>QD22.M43 K4</t>
        </is>
      </c>
      <c r="C512" t="inlineStr">
        <is>
          <t>0                      QD 0022000M  43                 K  4</t>
        </is>
      </c>
      <c r="D512" t="inlineStr">
        <is>
          <t>Mendeleyev : prophet of chemical elements / by Peter Kelman and A. Harris Stone. Illustrated by Henry Gorski.</t>
        </is>
      </c>
      <c r="F512" t="inlineStr">
        <is>
          <t>No</t>
        </is>
      </c>
      <c r="G512" t="inlineStr">
        <is>
          <t>1</t>
        </is>
      </c>
      <c r="H512" t="inlineStr">
        <is>
          <t>No</t>
        </is>
      </c>
      <c r="I512" t="inlineStr">
        <is>
          <t>No</t>
        </is>
      </c>
      <c r="J512" t="inlineStr">
        <is>
          <t>0</t>
        </is>
      </c>
      <c r="K512" t="inlineStr">
        <is>
          <t>Kelman, Peter.</t>
        </is>
      </c>
      <c r="L512" t="inlineStr">
        <is>
          <t>Englewood Cliffs, N.J. : Prentice-Hall, [1970]</t>
        </is>
      </c>
      <c r="M512" t="inlineStr">
        <is>
          <t>1970</t>
        </is>
      </c>
      <c r="O512" t="inlineStr">
        <is>
          <t>eng</t>
        </is>
      </c>
      <c r="P512" t="inlineStr">
        <is>
          <t>nju</t>
        </is>
      </c>
      <c r="Q512" t="inlineStr">
        <is>
          <t>History of science series</t>
        </is>
      </c>
      <c r="R512" t="inlineStr">
        <is>
          <t xml:space="preserve">QD </t>
        </is>
      </c>
      <c r="S512" t="n">
        <v>4</v>
      </c>
      <c r="T512" t="n">
        <v>4</v>
      </c>
      <c r="U512" t="inlineStr">
        <is>
          <t>2007-09-20</t>
        </is>
      </c>
      <c r="V512" t="inlineStr">
        <is>
          <t>2007-09-20</t>
        </is>
      </c>
      <c r="W512" t="inlineStr">
        <is>
          <t>1999-12-20</t>
        </is>
      </c>
      <c r="X512" t="inlineStr">
        <is>
          <t>1999-12-20</t>
        </is>
      </c>
      <c r="Y512" t="n">
        <v>180</v>
      </c>
      <c r="Z512" t="n">
        <v>165</v>
      </c>
      <c r="AA512" t="n">
        <v>166</v>
      </c>
      <c r="AB512" t="n">
        <v>1</v>
      </c>
      <c r="AC512" t="n">
        <v>1</v>
      </c>
      <c r="AD512" t="n">
        <v>1</v>
      </c>
      <c r="AE512" t="n">
        <v>1</v>
      </c>
      <c r="AF512" t="n">
        <v>1</v>
      </c>
      <c r="AG512" t="n">
        <v>1</v>
      </c>
      <c r="AH512" t="n">
        <v>0</v>
      </c>
      <c r="AI512" t="n">
        <v>0</v>
      </c>
      <c r="AJ512" t="n">
        <v>0</v>
      </c>
      <c r="AK512" t="n">
        <v>0</v>
      </c>
      <c r="AL512" t="n">
        <v>0</v>
      </c>
      <c r="AM512" t="n">
        <v>0</v>
      </c>
      <c r="AN512" t="n">
        <v>0</v>
      </c>
      <c r="AO512" t="n">
        <v>0</v>
      </c>
      <c r="AP512" t="inlineStr">
        <is>
          <t>No</t>
        </is>
      </c>
      <c r="AQ512" t="inlineStr">
        <is>
          <t>No</t>
        </is>
      </c>
      <c r="AS512">
        <f>HYPERLINK("https://creighton-primo.hosted.exlibrisgroup.com/primo-explore/search?tab=default_tab&amp;search_scope=EVERYTHING&amp;vid=01CRU&amp;lang=en_US&amp;offset=0&amp;query=any,contains,991000521519702656","Catalog Record")</f>
        <v/>
      </c>
      <c r="AT512">
        <f>HYPERLINK("http://www.worldcat.org/oclc/88056","WorldCat Record")</f>
        <v/>
      </c>
      <c r="AU512" t="inlineStr">
        <is>
          <t>422170744:eng</t>
        </is>
      </c>
      <c r="AV512" t="inlineStr">
        <is>
          <t>88056</t>
        </is>
      </c>
      <c r="AW512" t="inlineStr">
        <is>
          <t>991000521519702656</t>
        </is>
      </c>
      <c r="AX512" t="inlineStr">
        <is>
          <t>991000521519702656</t>
        </is>
      </c>
      <c r="AY512" t="inlineStr">
        <is>
          <t>2269543930002656</t>
        </is>
      </c>
      <c r="AZ512" t="inlineStr">
        <is>
          <t>BOOK</t>
        </is>
      </c>
      <c r="BB512" t="inlineStr">
        <is>
          <t>9780135743270</t>
        </is>
      </c>
      <c r="BC512" t="inlineStr">
        <is>
          <t>32285003635280</t>
        </is>
      </c>
      <c r="BD512" t="inlineStr">
        <is>
          <t>893249425</t>
        </is>
      </c>
    </row>
    <row r="513">
      <c r="A513" t="inlineStr">
        <is>
          <t>No</t>
        </is>
      </c>
      <c r="B513" t="inlineStr">
        <is>
          <t>QD22.M75 A3 1989</t>
        </is>
      </c>
      <c r="C513" t="inlineStr">
        <is>
          <t>0                      QD 0022000M  75                 A  3           1989</t>
        </is>
      </c>
      <c r="D513" t="inlineStr">
        <is>
          <t>Life of a scientist : an autobiographical account of the development of molecular orbital theory with an introductory memoir by Friedrich Hund / Robert S. Mulliken ; edited by Bernard J. Ransil.</t>
        </is>
      </c>
      <c r="F513" t="inlineStr">
        <is>
          <t>No</t>
        </is>
      </c>
      <c r="G513" t="inlineStr">
        <is>
          <t>1</t>
        </is>
      </c>
      <c r="H513" t="inlineStr">
        <is>
          <t>No</t>
        </is>
      </c>
      <c r="I513" t="inlineStr">
        <is>
          <t>No</t>
        </is>
      </c>
      <c r="J513" t="inlineStr">
        <is>
          <t>0</t>
        </is>
      </c>
      <c r="K513" t="inlineStr">
        <is>
          <t>Mulliken, Robert Sanderson.</t>
        </is>
      </c>
      <c r="L513" t="inlineStr">
        <is>
          <t>Berlin ; New York : Springer-Verlag, c1989.</t>
        </is>
      </c>
      <c r="M513" t="inlineStr">
        <is>
          <t>1989</t>
        </is>
      </c>
      <c r="O513" t="inlineStr">
        <is>
          <t>eng</t>
        </is>
      </c>
      <c r="P513" t="inlineStr">
        <is>
          <t xml:space="preserve">gw </t>
        </is>
      </c>
      <c r="R513" t="inlineStr">
        <is>
          <t xml:space="preserve">QD </t>
        </is>
      </c>
      <c r="S513" t="n">
        <v>2</v>
      </c>
      <c r="T513" t="n">
        <v>2</v>
      </c>
      <c r="U513" t="inlineStr">
        <is>
          <t>1994-09-26</t>
        </is>
      </c>
      <c r="V513" t="inlineStr">
        <is>
          <t>1994-09-26</t>
        </is>
      </c>
      <c r="W513" t="inlineStr">
        <is>
          <t>1990-07-05</t>
        </is>
      </c>
      <c r="X513" t="inlineStr">
        <is>
          <t>1990-07-05</t>
        </is>
      </c>
      <c r="Y513" t="n">
        <v>268</v>
      </c>
      <c r="Z513" t="n">
        <v>206</v>
      </c>
      <c r="AA513" t="n">
        <v>236</v>
      </c>
      <c r="AB513" t="n">
        <v>2</v>
      </c>
      <c r="AC513" t="n">
        <v>2</v>
      </c>
      <c r="AD513" t="n">
        <v>11</v>
      </c>
      <c r="AE513" t="n">
        <v>12</v>
      </c>
      <c r="AF513" t="n">
        <v>4</v>
      </c>
      <c r="AG513" t="n">
        <v>5</v>
      </c>
      <c r="AH513" t="n">
        <v>4</v>
      </c>
      <c r="AI513" t="n">
        <v>4</v>
      </c>
      <c r="AJ513" t="n">
        <v>6</v>
      </c>
      <c r="AK513" t="n">
        <v>7</v>
      </c>
      <c r="AL513" t="n">
        <v>1</v>
      </c>
      <c r="AM513" t="n">
        <v>1</v>
      </c>
      <c r="AN513" t="n">
        <v>0</v>
      </c>
      <c r="AO513" t="n">
        <v>0</v>
      </c>
      <c r="AP513" t="inlineStr">
        <is>
          <t>No</t>
        </is>
      </c>
      <c r="AQ513" t="inlineStr">
        <is>
          <t>Yes</t>
        </is>
      </c>
      <c r="AR513">
        <f>HYPERLINK("http://catalog.hathitrust.org/Record/006270064","HathiTrust Record")</f>
        <v/>
      </c>
      <c r="AS513">
        <f>HYPERLINK("https://creighton-primo.hosted.exlibrisgroup.com/primo-explore/search?tab=default_tab&amp;search_scope=EVERYTHING&amp;vid=01CRU&amp;lang=en_US&amp;offset=0&amp;query=any,contains,991001412819702656","Catalog Record")</f>
        <v/>
      </c>
      <c r="AT513">
        <f>HYPERLINK("http://www.worldcat.org/oclc/18909412","WorldCat Record")</f>
        <v/>
      </c>
      <c r="AU513" t="inlineStr">
        <is>
          <t>198106263:eng</t>
        </is>
      </c>
      <c r="AV513" t="inlineStr">
        <is>
          <t>18909412</t>
        </is>
      </c>
      <c r="AW513" t="inlineStr">
        <is>
          <t>991001412819702656</t>
        </is>
      </c>
      <c r="AX513" t="inlineStr">
        <is>
          <t>991001412819702656</t>
        </is>
      </c>
      <c r="AY513" t="inlineStr">
        <is>
          <t>2256410680002656</t>
        </is>
      </c>
      <c r="AZ513" t="inlineStr">
        <is>
          <t>BOOK</t>
        </is>
      </c>
      <c r="BB513" t="inlineStr">
        <is>
          <t>9780387503752</t>
        </is>
      </c>
      <c r="BC513" t="inlineStr">
        <is>
          <t>32285000207596</t>
        </is>
      </c>
      <c r="BD513" t="inlineStr">
        <is>
          <t>893408123</t>
        </is>
      </c>
    </row>
    <row r="514">
      <c r="A514" t="inlineStr">
        <is>
          <t>No</t>
        </is>
      </c>
      <c r="B514" t="inlineStr">
        <is>
          <t>QD22.P35 H34 1995</t>
        </is>
      </c>
      <c r="C514" t="inlineStr">
        <is>
          <t>0                      QD 0022000P  35                 H  34          1995</t>
        </is>
      </c>
      <c r="D514" t="inlineStr">
        <is>
          <t>Force of nature : the life of Linus Pauling / Thomas Hager.</t>
        </is>
      </c>
      <c r="F514" t="inlineStr">
        <is>
          <t>No</t>
        </is>
      </c>
      <c r="G514" t="inlineStr">
        <is>
          <t>1</t>
        </is>
      </c>
      <c r="H514" t="inlineStr">
        <is>
          <t>No</t>
        </is>
      </c>
      <c r="I514" t="inlineStr">
        <is>
          <t>No</t>
        </is>
      </c>
      <c r="J514" t="inlineStr">
        <is>
          <t>0</t>
        </is>
      </c>
      <c r="K514" t="inlineStr">
        <is>
          <t>Hager, Thomas.</t>
        </is>
      </c>
      <c r="L514" t="inlineStr">
        <is>
          <t>New York : Simon &amp; Schuster, c1995.</t>
        </is>
      </c>
      <c r="M514" t="inlineStr">
        <is>
          <t>1995</t>
        </is>
      </c>
      <c r="O514" t="inlineStr">
        <is>
          <t>eng</t>
        </is>
      </c>
      <c r="P514" t="inlineStr">
        <is>
          <t>nyu</t>
        </is>
      </c>
      <c r="R514" t="inlineStr">
        <is>
          <t xml:space="preserve">QD </t>
        </is>
      </c>
      <c r="S514" t="n">
        <v>4</v>
      </c>
      <c r="T514" t="n">
        <v>4</v>
      </c>
      <c r="U514" t="inlineStr">
        <is>
          <t>2009-11-17</t>
        </is>
      </c>
      <c r="V514" t="inlineStr">
        <is>
          <t>2009-11-17</t>
        </is>
      </c>
      <c r="W514" t="inlineStr">
        <is>
          <t>1996-11-19</t>
        </is>
      </c>
      <c r="X514" t="inlineStr">
        <is>
          <t>1996-11-19</t>
        </is>
      </c>
      <c r="Y514" t="n">
        <v>1141</v>
      </c>
      <c r="Z514" t="n">
        <v>1038</v>
      </c>
      <c r="AA514" t="n">
        <v>1047</v>
      </c>
      <c r="AB514" t="n">
        <v>8</v>
      </c>
      <c r="AC514" t="n">
        <v>8</v>
      </c>
      <c r="AD514" t="n">
        <v>35</v>
      </c>
      <c r="AE514" t="n">
        <v>35</v>
      </c>
      <c r="AF514" t="n">
        <v>15</v>
      </c>
      <c r="AG514" t="n">
        <v>15</v>
      </c>
      <c r="AH514" t="n">
        <v>7</v>
      </c>
      <c r="AI514" t="n">
        <v>7</v>
      </c>
      <c r="AJ514" t="n">
        <v>16</v>
      </c>
      <c r="AK514" t="n">
        <v>16</v>
      </c>
      <c r="AL514" t="n">
        <v>4</v>
      </c>
      <c r="AM514" t="n">
        <v>4</v>
      </c>
      <c r="AN514" t="n">
        <v>0</v>
      </c>
      <c r="AO514" t="n">
        <v>0</v>
      </c>
      <c r="AP514" t="inlineStr">
        <is>
          <t>No</t>
        </is>
      </c>
      <c r="AQ514" t="inlineStr">
        <is>
          <t>Yes</t>
        </is>
      </c>
      <c r="AR514">
        <f>HYPERLINK("http://catalog.hathitrust.org/Record/003019739","HathiTrust Record")</f>
        <v/>
      </c>
      <c r="AS514">
        <f>HYPERLINK("https://creighton-primo.hosted.exlibrisgroup.com/primo-explore/search?tab=default_tab&amp;search_scope=EVERYTHING&amp;vid=01CRU&amp;lang=en_US&amp;offset=0&amp;query=any,contains,991002527359702656","Catalog Record")</f>
        <v/>
      </c>
      <c r="AT514">
        <f>HYPERLINK("http://www.worldcat.org/oclc/32855541","WorldCat Record")</f>
        <v/>
      </c>
      <c r="AU514" t="inlineStr">
        <is>
          <t>37217981:eng</t>
        </is>
      </c>
      <c r="AV514" t="inlineStr">
        <is>
          <t>32855541</t>
        </is>
      </c>
      <c r="AW514" t="inlineStr">
        <is>
          <t>991002527359702656</t>
        </is>
      </c>
      <c r="AX514" t="inlineStr">
        <is>
          <t>991002527359702656</t>
        </is>
      </c>
      <c r="AY514" t="inlineStr">
        <is>
          <t>2271672190002656</t>
        </is>
      </c>
      <c r="AZ514" t="inlineStr">
        <is>
          <t>BOOK</t>
        </is>
      </c>
      <c r="BB514" t="inlineStr">
        <is>
          <t>9780684809090</t>
        </is>
      </c>
      <c r="BC514" t="inlineStr">
        <is>
          <t>32285002374071</t>
        </is>
      </c>
      <c r="BD514" t="inlineStr">
        <is>
          <t>893892672</t>
        </is>
      </c>
    </row>
    <row r="515">
      <c r="A515" t="inlineStr">
        <is>
          <t>No</t>
        </is>
      </c>
      <c r="B515" t="inlineStr">
        <is>
          <t>QD22.P8 A4</t>
        </is>
      </c>
      <c r="C515" t="inlineStr">
        <is>
          <t>0                      QD 0022000P  8                  A  4</t>
        </is>
      </c>
      <c r="D515" t="inlineStr">
        <is>
          <t>A scientific autobiography of Joseph Priestley, 1733-1804; selected scientific correspondence. Edited with commentary by Robert E. Schofield.</t>
        </is>
      </c>
      <c r="F515" t="inlineStr">
        <is>
          <t>No</t>
        </is>
      </c>
      <c r="G515" t="inlineStr">
        <is>
          <t>1</t>
        </is>
      </c>
      <c r="H515" t="inlineStr">
        <is>
          <t>No</t>
        </is>
      </c>
      <c r="I515" t="inlineStr">
        <is>
          <t>No</t>
        </is>
      </c>
      <c r="J515" t="inlineStr">
        <is>
          <t>0</t>
        </is>
      </c>
      <c r="K515" t="inlineStr">
        <is>
          <t>Priestley, Joseph, 1733-1804.</t>
        </is>
      </c>
      <c r="L515" t="inlineStr">
        <is>
          <t>Cambridge, M.I.T. Press [c1966]</t>
        </is>
      </c>
      <c r="M515" t="inlineStr">
        <is>
          <t>1966</t>
        </is>
      </c>
      <c r="O515" t="inlineStr">
        <is>
          <t>eng</t>
        </is>
      </c>
      <c r="P515" t="inlineStr">
        <is>
          <t>mau</t>
        </is>
      </c>
      <c r="R515" t="inlineStr">
        <is>
          <t xml:space="preserve">QD </t>
        </is>
      </c>
      <c r="S515" t="n">
        <v>4</v>
      </c>
      <c r="T515" t="n">
        <v>4</v>
      </c>
      <c r="U515" t="inlineStr">
        <is>
          <t>2005-04-03</t>
        </is>
      </c>
      <c r="V515" t="inlineStr">
        <is>
          <t>2005-04-03</t>
        </is>
      </c>
      <c r="W515" t="inlineStr">
        <is>
          <t>1997-05-28</t>
        </is>
      </c>
      <c r="X515" t="inlineStr">
        <is>
          <t>1997-05-28</t>
        </is>
      </c>
      <c r="Y515" t="n">
        <v>691</v>
      </c>
      <c r="Z515" t="n">
        <v>596</v>
      </c>
      <c r="AA515" t="n">
        <v>601</v>
      </c>
      <c r="AB515" t="n">
        <v>6</v>
      </c>
      <c r="AC515" t="n">
        <v>6</v>
      </c>
      <c r="AD515" t="n">
        <v>22</v>
      </c>
      <c r="AE515" t="n">
        <v>22</v>
      </c>
      <c r="AF515" t="n">
        <v>5</v>
      </c>
      <c r="AG515" t="n">
        <v>5</v>
      </c>
      <c r="AH515" t="n">
        <v>4</v>
      </c>
      <c r="AI515" t="n">
        <v>4</v>
      </c>
      <c r="AJ515" t="n">
        <v>11</v>
      </c>
      <c r="AK515" t="n">
        <v>11</v>
      </c>
      <c r="AL515" t="n">
        <v>5</v>
      </c>
      <c r="AM515" t="n">
        <v>5</v>
      </c>
      <c r="AN515" t="n">
        <v>0</v>
      </c>
      <c r="AO515" t="n">
        <v>0</v>
      </c>
      <c r="AP515" t="inlineStr">
        <is>
          <t>No</t>
        </is>
      </c>
      <c r="AQ515" t="inlineStr">
        <is>
          <t>Yes</t>
        </is>
      </c>
      <c r="AR515">
        <f>HYPERLINK("http://catalog.hathitrust.org/Record/001486569","HathiTrust Record")</f>
        <v/>
      </c>
      <c r="AS515">
        <f>HYPERLINK("https://creighton-primo.hosted.exlibrisgroup.com/primo-explore/search?tab=default_tab&amp;search_scope=EVERYTHING&amp;vid=01CRU&amp;lang=en_US&amp;offset=0&amp;query=any,contains,991001924949702656","Catalog Record")</f>
        <v/>
      </c>
      <c r="AT515">
        <f>HYPERLINK("http://www.worldcat.org/oclc/246105","WorldCat Record")</f>
        <v/>
      </c>
      <c r="AU515" t="inlineStr">
        <is>
          <t>836692291:eng</t>
        </is>
      </c>
      <c r="AV515" t="inlineStr">
        <is>
          <t>246105</t>
        </is>
      </c>
      <c r="AW515" t="inlineStr">
        <is>
          <t>991001924949702656</t>
        </is>
      </c>
      <c r="AX515" t="inlineStr">
        <is>
          <t>991001924949702656</t>
        </is>
      </c>
      <c r="AY515" t="inlineStr">
        <is>
          <t>2257321090002656</t>
        </is>
      </c>
      <c r="AZ515" t="inlineStr">
        <is>
          <t>BOOK</t>
        </is>
      </c>
      <c r="BC515" t="inlineStr">
        <is>
          <t>32285002776846</t>
        </is>
      </c>
      <c r="BD515" t="inlineStr">
        <is>
          <t>893334728</t>
        </is>
      </c>
    </row>
    <row r="516">
      <c r="A516" t="inlineStr">
        <is>
          <t>No</t>
        </is>
      </c>
      <c r="B516" t="inlineStr">
        <is>
          <t>QD22.P8 G53</t>
        </is>
      </c>
      <c r="C516" t="inlineStr">
        <is>
          <t>0                      QD 0022000P  8                  G  53</t>
        </is>
      </c>
      <c r="D516" t="inlineStr">
        <is>
          <t>Joseph Priestley : revolutions of the eighteenth century / [by] F.W. Gibbs.</t>
        </is>
      </c>
      <c r="F516" t="inlineStr">
        <is>
          <t>No</t>
        </is>
      </c>
      <c r="G516" t="inlineStr">
        <is>
          <t>1</t>
        </is>
      </c>
      <c r="H516" t="inlineStr">
        <is>
          <t>No</t>
        </is>
      </c>
      <c r="I516" t="inlineStr">
        <is>
          <t>No</t>
        </is>
      </c>
      <c r="J516" t="inlineStr">
        <is>
          <t>0</t>
        </is>
      </c>
      <c r="K516" t="inlineStr">
        <is>
          <t>Gibbs, F. W. (Frederick William)</t>
        </is>
      </c>
      <c r="L516" t="inlineStr">
        <is>
          <t>Garden City, N.Y. : Doubleday, 1967, [c1965]</t>
        </is>
      </c>
      <c r="M516" t="inlineStr">
        <is>
          <t>1967</t>
        </is>
      </c>
      <c r="N516" t="inlineStr">
        <is>
          <t>[1st ed.].</t>
        </is>
      </c>
      <c r="O516" t="inlineStr">
        <is>
          <t>eng</t>
        </is>
      </c>
      <c r="P516" t="inlineStr">
        <is>
          <t>nyu</t>
        </is>
      </c>
      <c r="R516" t="inlineStr">
        <is>
          <t xml:space="preserve">QD </t>
        </is>
      </c>
      <c r="S516" t="n">
        <v>10</v>
      </c>
      <c r="T516" t="n">
        <v>10</v>
      </c>
      <c r="U516" t="inlineStr">
        <is>
          <t>2005-04-03</t>
        </is>
      </c>
      <c r="V516" t="inlineStr">
        <is>
          <t>2005-04-03</t>
        </is>
      </c>
      <c r="W516" t="inlineStr">
        <is>
          <t>1999-12-20</t>
        </is>
      </c>
      <c r="X516" t="inlineStr">
        <is>
          <t>1999-12-20</t>
        </is>
      </c>
      <c r="Y516" t="n">
        <v>427</v>
      </c>
      <c r="Z516" t="n">
        <v>413</v>
      </c>
      <c r="AA516" t="n">
        <v>440</v>
      </c>
      <c r="AB516" t="n">
        <v>4</v>
      </c>
      <c r="AC516" t="n">
        <v>4</v>
      </c>
      <c r="AD516" t="n">
        <v>12</v>
      </c>
      <c r="AE516" t="n">
        <v>12</v>
      </c>
      <c r="AF516" t="n">
        <v>2</v>
      </c>
      <c r="AG516" t="n">
        <v>2</v>
      </c>
      <c r="AH516" t="n">
        <v>4</v>
      </c>
      <c r="AI516" t="n">
        <v>4</v>
      </c>
      <c r="AJ516" t="n">
        <v>6</v>
      </c>
      <c r="AK516" t="n">
        <v>6</v>
      </c>
      <c r="AL516" t="n">
        <v>3</v>
      </c>
      <c r="AM516" t="n">
        <v>3</v>
      </c>
      <c r="AN516" t="n">
        <v>0</v>
      </c>
      <c r="AO516" t="n">
        <v>0</v>
      </c>
      <c r="AP516" t="inlineStr">
        <is>
          <t>No</t>
        </is>
      </c>
      <c r="AQ516" t="inlineStr">
        <is>
          <t>Yes</t>
        </is>
      </c>
      <c r="AR516">
        <f>HYPERLINK("http://catalog.hathitrust.org/Record/001486571","HathiTrust Record")</f>
        <v/>
      </c>
      <c r="AS516">
        <f>HYPERLINK("https://creighton-primo.hosted.exlibrisgroup.com/primo-explore/search?tab=default_tab&amp;search_scope=EVERYTHING&amp;vid=01CRU&amp;lang=en_US&amp;offset=0&amp;query=any,contains,991002950429702656","Catalog Record")</f>
        <v/>
      </c>
      <c r="AT516">
        <f>HYPERLINK("http://www.worldcat.org/oclc/538530","WorldCat Record")</f>
        <v/>
      </c>
      <c r="AU516" t="inlineStr">
        <is>
          <t>3944078303:eng</t>
        </is>
      </c>
      <c r="AV516" t="inlineStr">
        <is>
          <t>538530</t>
        </is>
      </c>
      <c r="AW516" t="inlineStr">
        <is>
          <t>991002950429702656</t>
        </is>
      </c>
      <c r="AX516" t="inlineStr">
        <is>
          <t>991002950429702656</t>
        </is>
      </c>
      <c r="AY516" t="inlineStr">
        <is>
          <t>2262479370002656</t>
        </is>
      </c>
      <c r="AZ516" t="inlineStr">
        <is>
          <t>BOOK</t>
        </is>
      </c>
      <c r="BC516" t="inlineStr">
        <is>
          <t>32285003635298</t>
        </is>
      </c>
      <c r="BD516" t="inlineStr">
        <is>
          <t>893867923</t>
        </is>
      </c>
    </row>
    <row r="517">
      <c r="A517" t="inlineStr">
        <is>
          <t>No</t>
        </is>
      </c>
      <c r="B517" t="inlineStr">
        <is>
          <t>QD22.S436 A3 2001</t>
        </is>
      </c>
      <c r="C517" t="inlineStr">
        <is>
          <t>0                      QD 0022000S  436                A  3           2001</t>
        </is>
      </c>
      <c r="D517" t="inlineStr">
        <is>
          <t>Adventures in the atomic age : from Watts to Washington / Glenn T. Seaborg with Eric Seaborg.</t>
        </is>
      </c>
      <c r="F517" t="inlineStr">
        <is>
          <t>No</t>
        </is>
      </c>
      <c r="G517" t="inlineStr">
        <is>
          <t>1</t>
        </is>
      </c>
      <c r="H517" t="inlineStr">
        <is>
          <t>No</t>
        </is>
      </c>
      <c r="I517" t="inlineStr">
        <is>
          <t>No</t>
        </is>
      </c>
      <c r="J517" t="inlineStr">
        <is>
          <t>0</t>
        </is>
      </c>
      <c r="K517" t="inlineStr">
        <is>
          <t>Seaborg, Glenn T. (Glenn Theodore), 1912-1999.</t>
        </is>
      </c>
      <c r="L517" t="inlineStr">
        <is>
          <t>New York : Farrar, Straus and Giroux, 2001.</t>
        </is>
      </c>
      <c r="M517" t="inlineStr">
        <is>
          <t>2001</t>
        </is>
      </c>
      <c r="N517" t="inlineStr">
        <is>
          <t>1st ed.</t>
        </is>
      </c>
      <c r="O517" t="inlineStr">
        <is>
          <t>eng</t>
        </is>
      </c>
      <c r="P517" t="inlineStr">
        <is>
          <t>nyu</t>
        </is>
      </c>
      <c r="R517" t="inlineStr">
        <is>
          <t xml:space="preserve">QD </t>
        </is>
      </c>
      <c r="S517" t="n">
        <v>3</v>
      </c>
      <c r="T517" t="n">
        <v>3</v>
      </c>
      <c r="U517" t="inlineStr">
        <is>
          <t>2002-04-24</t>
        </is>
      </c>
      <c r="V517" t="inlineStr">
        <is>
          <t>2002-04-24</t>
        </is>
      </c>
      <c r="W517" t="inlineStr">
        <is>
          <t>2002-04-09</t>
        </is>
      </c>
      <c r="X517" t="inlineStr">
        <is>
          <t>2002-04-09</t>
        </is>
      </c>
      <c r="Y517" t="n">
        <v>826</v>
      </c>
      <c r="Z517" t="n">
        <v>777</v>
      </c>
      <c r="AA517" t="n">
        <v>782</v>
      </c>
      <c r="AB517" t="n">
        <v>7</v>
      </c>
      <c r="AC517" t="n">
        <v>7</v>
      </c>
      <c r="AD517" t="n">
        <v>26</v>
      </c>
      <c r="AE517" t="n">
        <v>26</v>
      </c>
      <c r="AF517" t="n">
        <v>10</v>
      </c>
      <c r="AG517" t="n">
        <v>10</v>
      </c>
      <c r="AH517" t="n">
        <v>3</v>
      </c>
      <c r="AI517" t="n">
        <v>3</v>
      </c>
      <c r="AJ517" t="n">
        <v>13</v>
      </c>
      <c r="AK517" t="n">
        <v>13</v>
      </c>
      <c r="AL517" t="n">
        <v>6</v>
      </c>
      <c r="AM517" t="n">
        <v>6</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HYPERLINK("https://creighton-primo.hosted.exlibrisgroup.com/primo-explore/search?tab=default_tab&amp;search_scope=EVERYTHING&amp;vid=01CRU&amp;lang=en_US&amp;offset=0&amp;query=any,contains,991003771129702656","Catalog Record")</f>
        <v/>
      </c>
      <c r="AT517">
        <f>HYPERLINK("http://www.worldcat.org/oclc/45129156","WorldCat Record")</f>
        <v/>
      </c>
      <c r="AU517" t="inlineStr">
        <is>
          <t>898691:eng</t>
        </is>
      </c>
      <c r="AV517" t="inlineStr">
        <is>
          <t>45129156</t>
        </is>
      </c>
      <c r="AW517" t="inlineStr">
        <is>
          <t>991003771129702656</t>
        </is>
      </c>
      <c r="AX517" t="inlineStr">
        <is>
          <t>991003771129702656</t>
        </is>
      </c>
      <c r="AY517" t="inlineStr">
        <is>
          <t>2260286740002656</t>
        </is>
      </c>
      <c r="AZ517" t="inlineStr">
        <is>
          <t>BOOK</t>
        </is>
      </c>
      <c r="BB517" t="inlineStr">
        <is>
          <t>9780374299910</t>
        </is>
      </c>
      <c r="BC517" t="inlineStr">
        <is>
          <t>32285004477898</t>
        </is>
      </c>
      <c r="BD517" t="inlineStr">
        <is>
          <t>893435422</t>
        </is>
      </c>
    </row>
    <row r="518">
      <c r="A518" t="inlineStr">
        <is>
          <t>No</t>
        </is>
      </c>
      <c r="B518" t="inlineStr">
        <is>
          <t>QD22.W67 R63 2001</t>
        </is>
      </c>
      <c r="C518" t="inlineStr">
        <is>
          <t>0                      QD 0022000W  67                 R  63          2001</t>
        </is>
      </c>
      <c r="D518" t="inlineStr">
        <is>
          <t>Robert Burns Woodward : architect and artist in the world of molecules / edited by Otto Theodor Benfey and Peter J.T. Morris.</t>
        </is>
      </c>
      <c r="F518" t="inlineStr">
        <is>
          <t>No</t>
        </is>
      </c>
      <c r="G518" t="inlineStr">
        <is>
          <t>1</t>
        </is>
      </c>
      <c r="H518" t="inlineStr">
        <is>
          <t>No</t>
        </is>
      </c>
      <c r="I518" t="inlineStr">
        <is>
          <t>No</t>
        </is>
      </c>
      <c r="J518" t="inlineStr">
        <is>
          <t>0</t>
        </is>
      </c>
      <c r="L518" t="inlineStr">
        <is>
          <t>Philadelphia : Chemical Heritage Foundation, c2001.</t>
        </is>
      </c>
      <c r="M518" t="inlineStr">
        <is>
          <t>2001</t>
        </is>
      </c>
      <c r="O518" t="inlineStr">
        <is>
          <t>eng</t>
        </is>
      </c>
      <c r="P518" t="inlineStr">
        <is>
          <t>pau</t>
        </is>
      </c>
      <c r="Q518" t="inlineStr">
        <is>
          <t>History of modern chemical sciences, 1069-2452</t>
        </is>
      </c>
      <c r="R518" t="inlineStr">
        <is>
          <t xml:space="preserve">QD </t>
        </is>
      </c>
      <c r="S518" t="n">
        <v>1</v>
      </c>
      <c r="T518" t="n">
        <v>1</v>
      </c>
      <c r="U518" t="inlineStr">
        <is>
          <t>2002-04-24</t>
        </is>
      </c>
      <c r="V518" t="inlineStr">
        <is>
          <t>2002-04-24</t>
        </is>
      </c>
      <c r="W518" t="inlineStr">
        <is>
          <t>2002-04-11</t>
        </is>
      </c>
      <c r="X518" t="inlineStr">
        <is>
          <t>2002-04-11</t>
        </is>
      </c>
      <c r="Y518" t="n">
        <v>268</v>
      </c>
      <c r="Z518" t="n">
        <v>226</v>
      </c>
      <c r="AA518" t="n">
        <v>226</v>
      </c>
      <c r="AB518" t="n">
        <v>4</v>
      </c>
      <c r="AC518" t="n">
        <v>4</v>
      </c>
      <c r="AD518" t="n">
        <v>17</v>
      </c>
      <c r="AE518" t="n">
        <v>17</v>
      </c>
      <c r="AF518" t="n">
        <v>8</v>
      </c>
      <c r="AG518" t="n">
        <v>8</v>
      </c>
      <c r="AH518" t="n">
        <v>4</v>
      </c>
      <c r="AI518" t="n">
        <v>4</v>
      </c>
      <c r="AJ518" t="n">
        <v>7</v>
      </c>
      <c r="AK518" t="n">
        <v>7</v>
      </c>
      <c r="AL518" t="n">
        <v>3</v>
      </c>
      <c r="AM518" t="n">
        <v>3</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HYPERLINK("https://creighton-primo.hosted.exlibrisgroup.com/primo-explore/search?tab=default_tab&amp;search_scope=EVERYTHING&amp;vid=01CRU&amp;lang=en_US&amp;offset=0&amp;query=any,contains,991003743309702656","Catalog Record")</f>
        <v/>
      </c>
      <c r="AT518">
        <f>HYPERLINK("http://www.worldcat.org/oclc/45223542","WorldCat Record")</f>
        <v/>
      </c>
      <c r="AU518" t="inlineStr">
        <is>
          <t>364329620:eng</t>
        </is>
      </c>
      <c r="AV518" t="inlineStr">
        <is>
          <t>45223542</t>
        </is>
      </c>
      <c r="AW518" t="inlineStr">
        <is>
          <t>991003743309702656</t>
        </is>
      </c>
      <c r="AX518" t="inlineStr">
        <is>
          <t>991003743309702656</t>
        </is>
      </c>
      <c r="AY518" t="inlineStr">
        <is>
          <t>2264856800002656</t>
        </is>
      </c>
      <c r="AZ518" t="inlineStr">
        <is>
          <t>BOOK</t>
        </is>
      </c>
      <c r="BB518" t="inlineStr">
        <is>
          <t>9780941901253</t>
        </is>
      </c>
      <c r="BC518" t="inlineStr">
        <is>
          <t>32285004479373</t>
        </is>
      </c>
      <c r="BD518" t="inlineStr">
        <is>
          <t>893416736</t>
        </is>
      </c>
    </row>
    <row r="519">
      <c r="A519" t="inlineStr">
        <is>
          <t>No</t>
        </is>
      </c>
      <c r="B519" t="inlineStr">
        <is>
          <t>QD23.5 .H3 1991</t>
        </is>
      </c>
      <c r="C519" t="inlineStr">
        <is>
          <t>0                      QD 0023500H  3           1991</t>
        </is>
      </c>
      <c r="D519" t="inlineStr">
        <is>
          <t>The dictionary of alchemy : from Maria Prophetissa to Isaac Newton / Mark Haeffner.</t>
        </is>
      </c>
      <c r="F519" t="inlineStr">
        <is>
          <t>No</t>
        </is>
      </c>
      <c r="G519" t="inlineStr">
        <is>
          <t>1</t>
        </is>
      </c>
      <c r="H519" t="inlineStr">
        <is>
          <t>No</t>
        </is>
      </c>
      <c r="I519" t="inlineStr">
        <is>
          <t>No</t>
        </is>
      </c>
      <c r="J519" t="inlineStr">
        <is>
          <t>0</t>
        </is>
      </c>
      <c r="K519" t="inlineStr">
        <is>
          <t>Haeffner, Mark.</t>
        </is>
      </c>
      <c r="L519" t="inlineStr">
        <is>
          <t>London : Aquarian Press, 1991.</t>
        </is>
      </c>
      <c r="M519" t="inlineStr">
        <is>
          <t>1991</t>
        </is>
      </c>
      <c r="O519" t="inlineStr">
        <is>
          <t>eng</t>
        </is>
      </c>
      <c r="P519" t="inlineStr">
        <is>
          <t>enk</t>
        </is>
      </c>
      <c r="R519" t="inlineStr">
        <is>
          <t xml:space="preserve">QD </t>
        </is>
      </c>
      <c r="S519" t="n">
        <v>9</v>
      </c>
      <c r="T519" t="n">
        <v>9</v>
      </c>
      <c r="U519" t="inlineStr">
        <is>
          <t>2007-04-19</t>
        </is>
      </c>
      <c r="V519" t="inlineStr">
        <is>
          <t>2007-04-19</t>
        </is>
      </c>
      <c r="W519" t="inlineStr">
        <is>
          <t>1992-11-12</t>
        </is>
      </c>
      <c r="X519" t="inlineStr">
        <is>
          <t>1992-11-12</t>
        </is>
      </c>
      <c r="Y519" t="n">
        <v>46</v>
      </c>
      <c r="Z519" t="n">
        <v>24</v>
      </c>
      <c r="AA519" t="n">
        <v>46</v>
      </c>
      <c r="AB519" t="n">
        <v>2</v>
      </c>
      <c r="AC519" t="n">
        <v>2</v>
      </c>
      <c r="AD519" t="n">
        <v>1</v>
      </c>
      <c r="AE519" t="n">
        <v>1</v>
      </c>
      <c r="AF519" t="n">
        <v>0</v>
      </c>
      <c r="AG519" t="n">
        <v>0</v>
      </c>
      <c r="AH519" t="n">
        <v>0</v>
      </c>
      <c r="AI519" t="n">
        <v>0</v>
      </c>
      <c r="AJ519" t="n">
        <v>0</v>
      </c>
      <c r="AK519" t="n">
        <v>0</v>
      </c>
      <c r="AL519" t="n">
        <v>1</v>
      </c>
      <c r="AM519" t="n">
        <v>1</v>
      </c>
      <c r="AN519" t="n">
        <v>0</v>
      </c>
      <c r="AO519" t="n">
        <v>0</v>
      </c>
      <c r="AP519" t="inlineStr">
        <is>
          <t>No</t>
        </is>
      </c>
      <c r="AQ519" t="inlineStr">
        <is>
          <t>No</t>
        </is>
      </c>
      <c r="AS519">
        <f>HYPERLINK("https://creighton-primo.hosted.exlibrisgroup.com/primo-explore/search?tab=default_tab&amp;search_scope=EVERYTHING&amp;vid=01CRU&amp;lang=en_US&amp;offset=0&amp;query=any,contains,991001955819702656","Catalog Record")</f>
        <v/>
      </c>
      <c r="AT519">
        <f>HYPERLINK("http://www.worldcat.org/oclc/60122098","WorldCat Record")</f>
        <v/>
      </c>
      <c r="AU519" t="inlineStr">
        <is>
          <t>3857747246:eng</t>
        </is>
      </c>
      <c r="AV519" t="inlineStr">
        <is>
          <t>60122098</t>
        </is>
      </c>
      <c r="AW519" t="inlineStr">
        <is>
          <t>991001955819702656</t>
        </is>
      </c>
      <c r="AX519" t="inlineStr">
        <is>
          <t>991001955819702656</t>
        </is>
      </c>
      <c r="AY519" t="inlineStr">
        <is>
          <t>2259792120002656</t>
        </is>
      </c>
      <c r="AZ519" t="inlineStr">
        <is>
          <t>BOOK</t>
        </is>
      </c>
      <c r="BB519" t="inlineStr">
        <is>
          <t>9781855380851</t>
        </is>
      </c>
      <c r="BC519" t="inlineStr">
        <is>
          <t>32285001362440</t>
        </is>
      </c>
      <c r="BD519" t="inlineStr">
        <is>
          <t>893244587</t>
        </is>
      </c>
    </row>
    <row r="520">
      <c r="A520" t="inlineStr">
        <is>
          <t>No</t>
        </is>
      </c>
      <c r="B520" t="inlineStr">
        <is>
          <t>QD25 .A78 1967</t>
        </is>
      </c>
      <c r="C520" t="inlineStr">
        <is>
          <t>0                      QD 0025000A  78          1967</t>
        </is>
      </c>
      <c r="D520" t="inlineStr">
        <is>
          <t>Theatrum chemicum Britannicum. Containing severall poeticall pieces of our famous English philosophers, who have written the hermetique mysteries in their owne ancient language. Faithfully collected into one volume with annotations thereon. A reprint of the London ed., 1652, with a new introd. by Allen G. Debus.</t>
        </is>
      </c>
      <c r="F520" t="inlineStr">
        <is>
          <t>No</t>
        </is>
      </c>
      <c r="G520" t="inlineStr">
        <is>
          <t>1</t>
        </is>
      </c>
      <c r="H520" t="inlineStr">
        <is>
          <t>No</t>
        </is>
      </c>
      <c r="I520" t="inlineStr">
        <is>
          <t>No</t>
        </is>
      </c>
      <c r="J520" t="inlineStr">
        <is>
          <t>0</t>
        </is>
      </c>
      <c r="K520" t="inlineStr">
        <is>
          <t>Ashmole, Elias, 1617-1692 compiler.</t>
        </is>
      </c>
      <c r="L520" t="inlineStr">
        <is>
          <t>New York, Johnson Reprint Corp., 1967.</t>
        </is>
      </c>
      <c r="M520" t="inlineStr">
        <is>
          <t>1967</t>
        </is>
      </c>
      <c r="O520" t="inlineStr">
        <is>
          <t>eng</t>
        </is>
      </c>
      <c r="P520" t="inlineStr">
        <is>
          <t>nyu</t>
        </is>
      </c>
      <c r="Q520" t="inlineStr">
        <is>
          <t>The Sources of Science, no. 39</t>
        </is>
      </c>
      <c r="R520" t="inlineStr">
        <is>
          <t xml:space="preserve">QD </t>
        </is>
      </c>
      <c r="S520" t="n">
        <v>1</v>
      </c>
      <c r="T520" t="n">
        <v>1</v>
      </c>
      <c r="U520" t="inlineStr">
        <is>
          <t>2000-06-27</t>
        </is>
      </c>
      <c r="V520" t="inlineStr">
        <is>
          <t>2000-06-27</t>
        </is>
      </c>
      <c r="W520" t="inlineStr">
        <is>
          <t>1993-01-14</t>
        </is>
      </c>
      <c r="X520" t="inlineStr">
        <is>
          <t>1993-01-14</t>
        </is>
      </c>
      <c r="Y520" t="n">
        <v>164</v>
      </c>
      <c r="Z520" t="n">
        <v>143</v>
      </c>
      <c r="AA520" t="n">
        <v>293</v>
      </c>
      <c r="AB520" t="n">
        <v>2</v>
      </c>
      <c r="AC520" t="n">
        <v>3</v>
      </c>
      <c r="AD520" t="n">
        <v>4</v>
      </c>
      <c r="AE520" t="n">
        <v>17</v>
      </c>
      <c r="AF520" t="n">
        <v>0</v>
      </c>
      <c r="AG520" t="n">
        <v>5</v>
      </c>
      <c r="AH520" t="n">
        <v>0</v>
      </c>
      <c r="AI520" t="n">
        <v>6</v>
      </c>
      <c r="AJ520" t="n">
        <v>3</v>
      </c>
      <c r="AK520" t="n">
        <v>6</v>
      </c>
      <c r="AL520" t="n">
        <v>1</v>
      </c>
      <c r="AM520" t="n">
        <v>2</v>
      </c>
      <c r="AN520" t="n">
        <v>0</v>
      </c>
      <c r="AO520" t="n">
        <v>1</v>
      </c>
      <c r="AP520" t="inlineStr">
        <is>
          <t>No</t>
        </is>
      </c>
      <c r="AQ520" t="inlineStr">
        <is>
          <t>No</t>
        </is>
      </c>
      <c r="AS520">
        <f>HYPERLINK("https://creighton-primo.hosted.exlibrisgroup.com/primo-explore/search?tab=default_tab&amp;search_scope=EVERYTHING&amp;vid=01CRU&amp;lang=en_US&amp;offset=0&amp;query=any,contains,991005364159702656","Catalog Record")</f>
        <v/>
      </c>
      <c r="AT520">
        <f>HYPERLINK("http://www.worldcat.org/oclc/212625861","WorldCat Record")</f>
        <v/>
      </c>
      <c r="AU520" t="inlineStr">
        <is>
          <t>895804277:eng</t>
        </is>
      </c>
      <c r="AV520" t="inlineStr">
        <is>
          <t>212625861</t>
        </is>
      </c>
      <c r="AW520" t="inlineStr">
        <is>
          <t>991005364159702656</t>
        </is>
      </c>
      <c r="AX520" t="inlineStr">
        <is>
          <t>991005364159702656</t>
        </is>
      </c>
      <c r="AY520" t="inlineStr">
        <is>
          <t>2270847620002656</t>
        </is>
      </c>
      <c r="AZ520" t="inlineStr">
        <is>
          <t>BOOK</t>
        </is>
      </c>
      <c r="BC520" t="inlineStr">
        <is>
          <t>32285001399525</t>
        </is>
      </c>
      <c r="BD520" t="inlineStr">
        <is>
          <t>893230591</t>
        </is>
      </c>
    </row>
    <row r="521">
      <c r="A521" t="inlineStr">
        <is>
          <t>No</t>
        </is>
      </c>
      <c r="B521" t="inlineStr">
        <is>
          <t>QD251 .B4</t>
        </is>
      </c>
      <c r="C521" t="inlineStr">
        <is>
          <t>0                      QD 0251000B  4</t>
        </is>
      </c>
      <c r="D521" t="inlineStr">
        <is>
          <t>Handbuch der organischen Chemie.</t>
        </is>
      </c>
      <c r="E521" t="inlineStr">
        <is>
          <t>V.2</t>
        </is>
      </c>
      <c r="F521" t="inlineStr">
        <is>
          <t>Yes</t>
        </is>
      </c>
      <c r="G521" t="inlineStr">
        <is>
          <t>1</t>
        </is>
      </c>
      <c r="H521" t="inlineStr">
        <is>
          <t>No</t>
        </is>
      </c>
      <c r="I521" t="inlineStr">
        <is>
          <t>No</t>
        </is>
      </c>
      <c r="J521" t="inlineStr">
        <is>
          <t>0</t>
        </is>
      </c>
      <c r="K521" t="inlineStr">
        <is>
          <t>Beilstein, Friedrich Konrad, 1838-1906.</t>
        </is>
      </c>
      <c r="L521" t="inlineStr">
        <is>
          <t>Berlin, J.Springer, 1918-40.</t>
        </is>
      </c>
      <c r="M521" t="inlineStr">
        <is>
          <t>1918</t>
        </is>
      </c>
      <c r="N521" t="inlineStr">
        <is>
          <t>4. Aufl.</t>
        </is>
      </c>
      <c r="O521" t="inlineStr">
        <is>
          <t>ger</t>
        </is>
      </c>
      <c r="P521" t="inlineStr">
        <is>
          <t xml:space="preserve">xx </t>
        </is>
      </c>
      <c r="R521" t="inlineStr">
        <is>
          <t xml:space="preserve">QD </t>
        </is>
      </c>
      <c r="S521" t="n">
        <v>1</v>
      </c>
      <c r="T521" t="n">
        <v>33</v>
      </c>
      <c r="U521" t="inlineStr">
        <is>
          <t>1998-07-27</t>
        </is>
      </c>
      <c r="V521" t="inlineStr">
        <is>
          <t>1998-07-27</t>
        </is>
      </c>
      <c r="W521" t="inlineStr">
        <is>
          <t>1997-06-10</t>
        </is>
      </c>
      <c r="X521" t="inlineStr">
        <is>
          <t>1997-06-10</t>
        </is>
      </c>
      <c r="Y521" t="n">
        <v>128</v>
      </c>
      <c r="Z521" t="n">
        <v>112</v>
      </c>
      <c r="AA521" t="n">
        <v>133</v>
      </c>
      <c r="AB521" t="n">
        <v>2</v>
      </c>
      <c r="AC521" t="n">
        <v>3</v>
      </c>
      <c r="AD521" t="n">
        <v>3</v>
      </c>
      <c r="AE521" t="n">
        <v>5</v>
      </c>
      <c r="AF521" t="n">
        <v>1</v>
      </c>
      <c r="AG521" t="n">
        <v>1</v>
      </c>
      <c r="AH521" t="n">
        <v>1</v>
      </c>
      <c r="AI521" t="n">
        <v>2</v>
      </c>
      <c r="AJ521" t="n">
        <v>1</v>
      </c>
      <c r="AK521" t="n">
        <v>2</v>
      </c>
      <c r="AL521" t="n">
        <v>1</v>
      </c>
      <c r="AM521" t="n">
        <v>2</v>
      </c>
      <c r="AN521" t="n">
        <v>0</v>
      </c>
      <c r="AO521" t="n">
        <v>0</v>
      </c>
      <c r="AP521" t="inlineStr">
        <is>
          <t>Yes</t>
        </is>
      </c>
      <c r="AQ521" t="inlineStr">
        <is>
          <t>Yes</t>
        </is>
      </c>
      <c r="AR521">
        <f>HYPERLINK("http://catalog.hathitrust.org/Record/008863082","HathiTrust Record")</f>
        <v/>
      </c>
      <c r="AS521">
        <f>HYPERLINK("https://creighton-primo.hosted.exlibrisgroup.com/primo-explore/search?tab=default_tab&amp;search_scope=EVERYTHING&amp;vid=01CRU&amp;lang=en_US&amp;offset=0&amp;query=any,contains,991005355859702656","Catalog Record")</f>
        <v/>
      </c>
      <c r="AT521">
        <f>HYPERLINK("http://www.worldcat.org/oclc/558189","WorldCat Record")</f>
        <v/>
      </c>
      <c r="AU521" t="inlineStr">
        <is>
          <t>61486993:ger</t>
        </is>
      </c>
      <c r="AV521" t="inlineStr">
        <is>
          <t>558189</t>
        </is>
      </c>
      <c r="AW521" t="inlineStr">
        <is>
          <t>991005355859702656</t>
        </is>
      </c>
      <c r="AX521" t="inlineStr">
        <is>
          <t>991005355859702656</t>
        </is>
      </c>
      <c r="AY521" t="inlineStr">
        <is>
          <t>2258196550002656</t>
        </is>
      </c>
      <c r="AZ521" t="inlineStr">
        <is>
          <t>BOOK</t>
        </is>
      </c>
      <c r="BC521" t="inlineStr">
        <is>
          <t>32285002792918</t>
        </is>
      </c>
      <c r="BD521" t="inlineStr">
        <is>
          <t>893720231</t>
        </is>
      </c>
    </row>
    <row r="522">
      <c r="A522" t="inlineStr">
        <is>
          <t>No</t>
        </is>
      </c>
      <c r="B522" t="inlineStr">
        <is>
          <t>QD251 .B4</t>
        </is>
      </c>
      <c r="C522" t="inlineStr">
        <is>
          <t>0                      QD 0251000B  4</t>
        </is>
      </c>
      <c r="D522" t="inlineStr">
        <is>
          <t>Handbuch der organischen Chemie.</t>
        </is>
      </c>
      <c r="E522" t="inlineStr">
        <is>
          <t>V.28 PT.1</t>
        </is>
      </c>
      <c r="F522" t="inlineStr">
        <is>
          <t>Yes</t>
        </is>
      </c>
      <c r="G522" t="inlineStr">
        <is>
          <t>1</t>
        </is>
      </c>
      <c r="H522" t="inlineStr">
        <is>
          <t>No</t>
        </is>
      </c>
      <c r="I522" t="inlineStr">
        <is>
          <t>No</t>
        </is>
      </c>
      <c r="J522" t="inlineStr">
        <is>
          <t>0</t>
        </is>
      </c>
      <c r="K522" t="inlineStr">
        <is>
          <t>Beilstein, Friedrich Konrad, 1838-1906.</t>
        </is>
      </c>
      <c r="L522" t="inlineStr">
        <is>
          <t>Berlin, J.Springer, 1918-40.</t>
        </is>
      </c>
      <c r="M522" t="inlineStr">
        <is>
          <t>1918</t>
        </is>
      </c>
      <c r="N522" t="inlineStr">
        <is>
          <t>4. Aufl.</t>
        </is>
      </c>
      <c r="O522" t="inlineStr">
        <is>
          <t>ger</t>
        </is>
      </c>
      <c r="P522" t="inlineStr">
        <is>
          <t xml:space="preserve">xx </t>
        </is>
      </c>
      <c r="R522" t="inlineStr">
        <is>
          <t xml:space="preserve">QD </t>
        </is>
      </c>
      <c r="S522" t="n">
        <v>1</v>
      </c>
      <c r="T522" t="n">
        <v>33</v>
      </c>
      <c r="U522" t="inlineStr">
        <is>
          <t>1998-07-27</t>
        </is>
      </c>
      <c r="V522" t="inlineStr">
        <is>
          <t>1998-07-27</t>
        </is>
      </c>
      <c r="W522" t="inlineStr">
        <is>
          <t>1997-06-10</t>
        </is>
      </c>
      <c r="X522" t="inlineStr">
        <is>
          <t>1997-06-10</t>
        </is>
      </c>
      <c r="Y522" t="n">
        <v>128</v>
      </c>
      <c r="Z522" t="n">
        <v>112</v>
      </c>
      <c r="AA522" t="n">
        <v>133</v>
      </c>
      <c r="AB522" t="n">
        <v>2</v>
      </c>
      <c r="AC522" t="n">
        <v>3</v>
      </c>
      <c r="AD522" t="n">
        <v>3</v>
      </c>
      <c r="AE522" t="n">
        <v>5</v>
      </c>
      <c r="AF522" t="n">
        <v>1</v>
      </c>
      <c r="AG522" t="n">
        <v>1</v>
      </c>
      <c r="AH522" t="n">
        <v>1</v>
      </c>
      <c r="AI522" t="n">
        <v>2</v>
      </c>
      <c r="AJ522" t="n">
        <v>1</v>
      </c>
      <c r="AK522" t="n">
        <v>2</v>
      </c>
      <c r="AL522" t="n">
        <v>1</v>
      </c>
      <c r="AM522" t="n">
        <v>2</v>
      </c>
      <c r="AN522" t="n">
        <v>0</v>
      </c>
      <c r="AO522" t="n">
        <v>0</v>
      </c>
      <c r="AP522" t="inlineStr">
        <is>
          <t>Yes</t>
        </is>
      </c>
      <c r="AQ522" t="inlineStr">
        <is>
          <t>Yes</t>
        </is>
      </c>
      <c r="AR522">
        <f>HYPERLINK("http://catalog.hathitrust.org/Record/008863082","HathiTrust Record")</f>
        <v/>
      </c>
      <c r="AS522">
        <f>HYPERLINK("https://creighton-primo.hosted.exlibrisgroup.com/primo-explore/search?tab=default_tab&amp;search_scope=EVERYTHING&amp;vid=01CRU&amp;lang=en_US&amp;offset=0&amp;query=any,contains,991005355859702656","Catalog Record")</f>
        <v/>
      </c>
      <c r="AT522">
        <f>HYPERLINK("http://www.worldcat.org/oclc/558189","WorldCat Record")</f>
        <v/>
      </c>
      <c r="AU522" t="inlineStr">
        <is>
          <t>61486993:ger</t>
        </is>
      </c>
      <c r="AV522" t="inlineStr">
        <is>
          <t>558189</t>
        </is>
      </c>
      <c r="AW522" t="inlineStr">
        <is>
          <t>991005355859702656</t>
        </is>
      </c>
      <c r="AX522" t="inlineStr">
        <is>
          <t>991005355859702656</t>
        </is>
      </c>
      <c r="AY522" t="inlineStr">
        <is>
          <t>2258196550002656</t>
        </is>
      </c>
      <c r="AZ522" t="inlineStr">
        <is>
          <t>BOOK</t>
        </is>
      </c>
      <c r="BC522" t="inlineStr">
        <is>
          <t>32285002793171</t>
        </is>
      </c>
      <c r="BD522" t="inlineStr">
        <is>
          <t>893701437</t>
        </is>
      </c>
    </row>
    <row r="523">
      <c r="A523" t="inlineStr">
        <is>
          <t>No</t>
        </is>
      </c>
      <c r="B523" t="inlineStr">
        <is>
          <t>QD251 .B4</t>
        </is>
      </c>
      <c r="C523" t="inlineStr">
        <is>
          <t>0                      QD 0251000B  4</t>
        </is>
      </c>
      <c r="D523" t="inlineStr">
        <is>
          <t>Handbuch der organischen Chemie.</t>
        </is>
      </c>
      <c r="E523" t="inlineStr">
        <is>
          <t>V.25</t>
        </is>
      </c>
      <c r="F523" t="inlineStr">
        <is>
          <t>Yes</t>
        </is>
      </c>
      <c r="G523" t="inlineStr">
        <is>
          <t>1</t>
        </is>
      </c>
      <c r="H523" t="inlineStr">
        <is>
          <t>No</t>
        </is>
      </c>
      <c r="I523" t="inlineStr">
        <is>
          <t>No</t>
        </is>
      </c>
      <c r="J523" t="inlineStr">
        <is>
          <t>0</t>
        </is>
      </c>
      <c r="K523" t="inlineStr">
        <is>
          <t>Beilstein, Friedrich Konrad, 1838-1906.</t>
        </is>
      </c>
      <c r="L523" t="inlineStr">
        <is>
          <t>Berlin, J.Springer, 1918-40.</t>
        </is>
      </c>
      <c r="M523" t="inlineStr">
        <is>
          <t>1918</t>
        </is>
      </c>
      <c r="N523" t="inlineStr">
        <is>
          <t>4. Aufl.</t>
        </is>
      </c>
      <c r="O523" t="inlineStr">
        <is>
          <t>ger</t>
        </is>
      </c>
      <c r="P523" t="inlineStr">
        <is>
          <t xml:space="preserve">xx </t>
        </is>
      </c>
      <c r="R523" t="inlineStr">
        <is>
          <t xml:space="preserve">QD </t>
        </is>
      </c>
      <c r="S523" t="n">
        <v>1</v>
      </c>
      <c r="T523" t="n">
        <v>33</v>
      </c>
      <c r="U523" t="inlineStr">
        <is>
          <t>1998-07-27</t>
        </is>
      </c>
      <c r="V523" t="inlineStr">
        <is>
          <t>1998-07-27</t>
        </is>
      </c>
      <c r="W523" t="inlineStr">
        <is>
          <t>1997-06-10</t>
        </is>
      </c>
      <c r="X523" t="inlineStr">
        <is>
          <t>1997-06-10</t>
        </is>
      </c>
      <c r="Y523" t="n">
        <v>128</v>
      </c>
      <c r="Z523" t="n">
        <v>112</v>
      </c>
      <c r="AA523" t="n">
        <v>133</v>
      </c>
      <c r="AB523" t="n">
        <v>2</v>
      </c>
      <c r="AC523" t="n">
        <v>3</v>
      </c>
      <c r="AD523" t="n">
        <v>3</v>
      </c>
      <c r="AE523" t="n">
        <v>5</v>
      </c>
      <c r="AF523" t="n">
        <v>1</v>
      </c>
      <c r="AG523" t="n">
        <v>1</v>
      </c>
      <c r="AH523" t="n">
        <v>1</v>
      </c>
      <c r="AI523" t="n">
        <v>2</v>
      </c>
      <c r="AJ523" t="n">
        <v>1</v>
      </c>
      <c r="AK523" t="n">
        <v>2</v>
      </c>
      <c r="AL523" t="n">
        <v>1</v>
      </c>
      <c r="AM523" t="n">
        <v>2</v>
      </c>
      <c r="AN523" t="n">
        <v>0</v>
      </c>
      <c r="AO523" t="n">
        <v>0</v>
      </c>
      <c r="AP523" t="inlineStr">
        <is>
          <t>Yes</t>
        </is>
      </c>
      <c r="AQ523" t="inlineStr">
        <is>
          <t>Yes</t>
        </is>
      </c>
      <c r="AR523">
        <f>HYPERLINK("http://catalog.hathitrust.org/Record/008863082","HathiTrust Record")</f>
        <v/>
      </c>
      <c r="AS523">
        <f>HYPERLINK("https://creighton-primo.hosted.exlibrisgroup.com/primo-explore/search?tab=default_tab&amp;search_scope=EVERYTHING&amp;vid=01CRU&amp;lang=en_US&amp;offset=0&amp;query=any,contains,991005355859702656","Catalog Record")</f>
        <v/>
      </c>
      <c r="AT523">
        <f>HYPERLINK("http://www.worldcat.org/oclc/558189","WorldCat Record")</f>
        <v/>
      </c>
      <c r="AU523" t="inlineStr">
        <is>
          <t>61486993:ger</t>
        </is>
      </c>
      <c r="AV523" t="inlineStr">
        <is>
          <t>558189</t>
        </is>
      </c>
      <c r="AW523" t="inlineStr">
        <is>
          <t>991005355859702656</t>
        </is>
      </c>
      <c r="AX523" t="inlineStr">
        <is>
          <t>991005355859702656</t>
        </is>
      </c>
      <c r="AY523" t="inlineStr">
        <is>
          <t>2258196550002656</t>
        </is>
      </c>
      <c r="AZ523" t="inlineStr">
        <is>
          <t>BOOK</t>
        </is>
      </c>
      <c r="BC523" t="inlineStr">
        <is>
          <t>32285002793148</t>
        </is>
      </c>
      <c r="BD523" t="inlineStr">
        <is>
          <t>893689007</t>
        </is>
      </c>
    </row>
    <row r="524">
      <c r="A524" t="inlineStr">
        <is>
          <t>No</t>
        </is>
      </c>
      <c r="B524" t="inlineStr">
        <is>
          <t>QD251 .B4</t>
        </is>
      </c>
      <c r="C524" t="inlineStr">
        <is>
          <t>0                      QD 0251000B  4</t>
        </is>
      </c>
      <c r="D524" t="inlineStr">
        <is>
          <t>Handbuch der organischen Chemie.</t>
        </is>
      </c>
      <c r="E524" t="inlineStr">
        <is>
          <t>V.4</t>
        </is>
      </c>
      <c r="F524" t="inlineStr">
        <is>
          <t>Yes</t>
        </is>
      </c>
      <c r="G524" t="inlineStr">
        <is>
          <t>1</t>
        </is>
      </c>
      <c r="H524" t="inlineStr">
        <is>
          <t>No</t>
        </is>
      </c>
      <c r="I524" t="inlineStr">
        <is>
          <t>No</t>
        </is>
      </c>
      <c r="J524" t="inlineStr">
        <is>
          <t>0</t>
        </is>
      </c>
      <c r="K524" t="inlineStr">
        <is>
          <t>Beilstein, Friedrich Konrad, 1838-1906.</t>
        </is>
      </c>
      <c r="L524" t="inlineStr">
        <is>
          <t>Berlin, J.Springer, 1918-40.</t>
        </is>
      </c>
      <c r="M524" t="inlineStr">
        <is>
          <t>1918</t>
        </is>
      </c>
      <c r="N524" t="inlineStr">
        <is>
          <t>4. Aufl.</t>
        </is>
      </c>
      <c r="O524" t="inlineStr">
        <is>
          <t>ger</t>
        </is>
      </c>
      <c r="P524" t="inlineStr">
        <is>
          <t xml:space="preserve">xx </t>
        </is>
      </c>
      <c r="R524" t="inlineStr">
        <is>
          <t xml:space="preserve">QD </t>
        </is>
      </c>
      <c r="S524" t="n">
        <v>1</v>
      </c>
      <c r="T524" t="n">
        <v>33</v>
      </c>
      <c r="U524" t="inlineStr">
        <is>
          <t>1998-07-27</t>
        </is>
      </c>
      <c r="V524" t="inlineStr">
        <is>
          <t>1998-07-27</t>
        </is>
      </c>
      <c r="W524" t="inlineStr">
        <is>
          <t>1997-06-10</t>
        </is>
      </c>
      <c r="X524" t="inlineStr">
        <is>
          <t>1997-06-10</t>
        </is>
      </c>
      <c r="Y524" t="n">
        <v>128</v>
      </c>
      <c r="Z524" t="n">
        <v>112</v>
      </c>
      <c r="AA524" t="n">
        <v>133</v>
      </c>
      <c r="AB524" t="n">
        <v>2</v>
      </c>
      <c r="AC524" t="n">
        <v>3</v>
      </c>
      <c r="AD524" t="n">
        <v>3</v>
      </c>
      <c r="AE524" t="n">
        <v>5</v>
      </c>
      <c r="AF524" t="n">
        <v>1</v>
      </c>
      <c r="AG524" t="n">
        <v>1</v>
      </c>
      <c r="AH524" t="n">
        <v>1</v>
      </c>
      <c r="AI524" t="n">
        <v>2</v>
      </c>
      <c r="AJ524" t="n">
        <v>1</v>
      </c>
      <c r="AK524" t="n">
        <v>2</v>
      </c>
      <c r="AL524" t="n">
        <v>1</v>
      </c>
      <c r="AM524" t="n">
        <v>2</v>
      </c>
      <c r="AN524" t="n">
        <v>0</v>
      </c>
      <c r="AO524" t="n">
        <v>0</v>
      </c>
      <c r="AP524" t="inlineStr">
        <is>
          <t>Yes</t>
        </is>
      </c>
      <c r="AQ524" t="inlineStr">
        <is>
          <t>Yes</t>
        </is>
      </c>
      <c r="AR524">
        <f>HYPERLINK("http://catalog.hathitrust.org/Record/008863082","HathiTrust Record")</f>
        <v/>
      </c>
      <c r="AS524">
        <f>HYPERLINK("https://creighton-primo.hosted.exlibrisgroup.com/primo-explore/search?tab=default_tab&amp;search_scope=EVERYTHING&amp;vid=01CRU&amp;lang=en_US&amp;offset=0&amp;query=any,contains,991005355859702656","Catalog Record")</f>
        <v/>
      </c>
      <c r="AT524">
        <f>HYPERLINK("http://www.worldcat.org/oclc/558189","WorldCat Record")</f>
        <v/>
      </c>
      <c r="AU524" t="inlineStr">
        <is>
          <t>61486993:ger</t>
        </is>
      </c>
      <c r="AV524" t="inlineStr">
        <is>
          <t>558189</t>
        </is>
      </c>
      <c r="AW524" t="inlineStr">
        <is>
          <t>991005355859702656</t>
        </is>
      </c>
      <c r="AX524" t="inlineStr">
        <is>
          <t>991005355859702656</t>
        </is>
      </c>
      <c r="AY524" t="inlineStr">
        <is>
          <t>2258196550002656</t>
        </is>
      </c>
      <c r="AZ524" t="inlineStr">
        <is>
          <t>BOOK</t>
        </is>
      </c>
      <c r="BC524" t="inlineStr">
        <is>
          <t>32285002792934</t>
        </is>
      </c>
      <c r="BD524" t="inlineStr">
        <is>
          <t>893720224</t>
        </is>
      </c>
    </row>
    <row r="525">
      <c r="A525" t="inlineStr">
        <is>
          <t>No</t>
        </is>
      </c>
      <c r="B525" t="inlineStr">
        <is>
          <t>QD251 .B4</t>
        </is>
      </c>
      <c r="C525" t="inlineStr">
        <is>
          <t>0                      QD 0251000B  4</t>
        </is>
      </c>
      <c r="D525" t="inlineStr">
        <is>
          <t>Handbuch der organischen Chemie.</t>
        </is>
      </c>
      <c r="E525" t="inlineStr">
        <is>
          <t>V.9</t>
        </is>
      </c>
      <c r="F525" t="inlineStr">
        <is>
          <t>Yes</t>
        </is>
      </c>
      <c r="G525" t="inlineStr">
        <is>
          <t>1</t>
        </is>
      </c>
      <c r="H525" t="inlineStr">
        <is>
          <t>No</t>
        </is>
      </c>
      <c r="I525" t="inlineStr">
        <is>
          <t>No</t>
        </is>
      </c>
      <c r="J525" t="inlineStr">
        <is>
          <t>0</t>
        </is>
      </c>
      <c r="K525" t="inlineStr">
        <is>
          <t>Beilstein, Friedrich Konrad, 1838-1906.</t>
        </is>
      </c>
      <c r="L525" t="inlineStr">
        <is>
          <t>Berlin, J.Springer, 1918-40.</t>
        </is>
      </c>
      <c r="M525" t="inlineStr">
        <is>
          <t>1918</t>
        </is>
      </c>
      <c r="N525" t="inlineStr">
        <is>
          <t>4. Aufl.</t>
        </is>
      </c>
      <c r="O525" t="inlineStr">
        <is>
          <t>ger</t>
        </is>
      </c>
      <c r="P525" t="inlineStr">
        <is>
          <t xml:space="preserve">xx </t>
        </is>
      </c>
      <c r="R525" t="inlineStr">
        <is>
          <t xml:space="preserve">QD </t>
        </is>
      </c>
      <c r="S525" t="n">
        <v>1</v>
      </c>
      <c r="T525" t="n">
        <v>33</v>
      </c>
      <c r="U525" t="inlineStr">
        <is>
          <t>1998-07-27</t>
        </is>
      </c>
      <c r="V525" t="inlineStr">
        <is>
          <t>1998-07-27</t>
        </is>
      </c>
      <c r="W525" t="inlineStr">
        <is>
          <t>1997-06-10</t>
        </is>
      </c>
      <c r="X525" t="inlineStr">
        <is>
          <t>1997-06-10</t>
        </is>
      </c>
      <c r="Y525" t="n">
        <v>128</v>
      </c>
      <c r="Z525" t="n">
        <v>112</v>
      </c>
      <c r="AA525" t="n">
        <v>133</v>
      </c>
      <c r="AB525" t="n">
        <v>2</v>
      </c>
      <c r="AC525" t="n">
        <v>3</v>
      </c>
      <c r="AD525" t="n">
        <v>3</v>
      </c>
      <c r="AE525" t="n">
        <v>5</v>
      </c>
      <c r="AF525" t="n">
        <v>1</v>
      </c>
      <c r="AG525" t="n">
        <v>1</v>
      </c>
      <c r="AH525" t="n">
        <v>1</v>
      </c>
      <c r="AI525" t="n">
        <v>2</v>
      </c>
      <c r="AJ525" t="n">
        <v>1</v>
      </c>
      <c r="AK525" t="n">
        <v>2</v>
      </c>
      <c r="AL525" t="n">
        <v>1</v>
      </c>
      <c r="AM525" t="n">
        <v>2</v>
      </c>
      <c r="AN525" t="n">
        <v>0</v>
      </c>
      <c r="AO525" t="n">
        <v>0</v>
      </c>
      <c r="AP525" t="inlineStr">
        <is>
          <t>Yes</t>
        </is>
      </c>
      <c r="AQ525" t="inlineStr">
        <is>
          <t>Yes</t>
        </is>
      </c>
      <c r="AR525">
        <f>HYPERLINK("http://catalog.hathitrust.org/Record/008863082","HathiTrust Record")</f>
        <v/>
      </c>
      <c r="AS525">
        <f>HYPERLINK("https://creighton-primo.hosted.exlibrisgroup.com/primo-explore/search?tab=default_tab&amp;search_scope=EVERYTHING&amp;vid=01CRU&amp;lang=en_US&amp;offset=0&amp;query=any,contains,991005355859702656","Catalog Record")</f>
        <v/>
      </c>
      <c r="AT525">
        <f>HYPERLINK("http://www.worldcat.org/oclc/558189","WorldCat Record")</f>
        <v/>
      </c>
      <c r="AU525" t="inlineStr">
        <is>
          <t>61486993:ger</t>
        </is>
      </c>
      <c r="AV525" t="inlineStr">
        <is>
          <t>558189</t>
        </is>
      </c>
      <c r="AW525" t="inlineStr">
        <is>
          <t>991005355859702656</t>
        </is>
      </c>
      <c r="AX525" t="inlineStr">
        <is>
          <t>991005355859702656</t>
        </is>
      </c>
      <c r="AY525" t="inlineStr">
        <is>
          <t>2258196550002656</t>
        </is>
      </c>
      <c r="AZ525" t="inlineStr">
        <is>
          <t>BOOK</t>
        </is>
      </c>
      <c r="BC525" t="inlineStr">
        <is>
          <t>32285002792983</t>
        </is>
      </c>
      <c r="BD525" t="inlineStr">
        <is>
          <t>893720223</t>
        </is>
      </c>
    </row>
    <row r="526">
      <c r="A526" t="inlineStr">
        <is>
          <t>No</t>
        </is>
      </c>
      <c r="B526" t="inlineStr">
        <is>
          <t>QD251 .B4</t>
        </is>
      </c>
      <c r="C526" t="inlineStr">
        <is>
          <t>0                      QD 0251000B  4</t>
        </is>
      </c>
      <c r="D526" t="inlineStr">
        <is>
          <t>Handbuch der organischen Chemie.</t>
        </is>
      </c>
      <c r="E526" t="inlineStr">
        <is>
          <t>V.14</t>
        </is>
      </c>
      <c r="F526" t="inlineStr">
        <is>
          <t>Yes</t>
        </is>
      </c>
      <c r="G526" t="inlineStr">
        <is>
          <t>1</t>
        </is>
      </c>
      <c r="H526" t="inlineStr">
        <is>
          <t>No</t>
        </is>
      </c>
      <c r="I526" t="inlineStr">
        <is>
          <t>No</t>
        </is>
      </c>
      <c r="J526" t="inlineStr">
        <is>
          <t>0</t>
        </is>
      </c>
      <c r="K526" t="inlineStr">
        <is>
          <t>Beilstein, Friedrich Konrad, 1838-1906.</t>
        </is>
      </c>
      <c r="L526" t="inlineStr">
        <is>
          <t>Berlin, J.Springer, 1918-40.</t>
        </is>
      </c>
      <c r="M526" t="inlineStr">
        <is>
          <t>1918</t>
        </is>
      </c>
      <c r="N526" t="inlineStr">
        <is>
          <t>4. Aufl.</t>
        </is>
      </c>
      <c r="O526" t="inlineStr">
        <is>
          <t>ger</t>
        </is>
      </c>
      <c r="P526" t="inlineStr">
        <is>
          <t xml:space="preserve">xx </t>
        </is>
      </c>
      <c r="R526" t="inlineStr">
        <is>
          <t xml:space="preserve">QD </t>
        </is>
      </c>
      <c r="S526" t="n">
        <v>1</v>
      </c>
      <c r="T526" t="n">
        <v>33</v>
      </c>
      <c r="U526" t="inlineStr">
        <is>
          <t>1998-07-27</t>
        </is>
      </c>
      <c r="V526" t="inlineStr">
        <is>
          <t>1998-07-27</t>
        </is>
      </c>
      <c r="W526" t="inlineStr">
        <is>
          <t>1997-06-10</t>
        </is>
      </c>
      <c r="X526" t="inlineStr">
        <is>
          <t>1997-06-10</t>
        </is>
      </c>
      <c r="Y526" t="n">
        <v>128</v>
      </c>
      <c r="Z526" t="n">
        <v>112</v>
      </c>
      <c r="AA526" t="n">
        <v>133</v>
      </c>
      <c r="AB526" t="n">
        <v>2</v>
      </c>
      <c r="AC526" t="n">
        <v>3</v>
      </c>
      <c r="AD526" t="n">
        <v>3</v>
      </c>
      <c r="AE526" t="n">
        <v>5</v>
      </c>
      <c r="AF526" t="n">
        <v>1</v>
      </c>
      <c r="AG526" t="n">
        <v>1</v>
      </c>
      <c r="AH526" t="n">
        <v>1</v>
      </c>
      <c r="AI526" t="n">
        <v>2</v>
      </c>
      <c r="AJ526" t="n">
        <v>1</v>
      </c>
      <c r="AK526" t="n">
        <v>2</v>
      </c>
      <c r="AL526" t="n">
        <v>1</v>
      </c>
      <c r="AM526" t="n">
        <v>2</v>
      </c>
      <c r="AN526" t="n">
        <v>0</v>
      </c>
      <c r="AO526" t="n">
        <v>0</v>
      </c>
      <c r="AP526" t="inlineStr">
        <is>
          <t>Yes</t>
        </is>
      </c>
      <c r="AQ526" t="inlineStr">
        <is>
          <t>Yes</t>
        </is>
      </c>
      <c r="AR526">
        <f>HYPERLINK("http://catalog.hathitrust.org/Record/008863082","HathiTrust Record")</f>
        <v/>
      </c>
      <c r="AS526">
        <f>HYPERLINK("https://creighton-primo.hosted.exlibrisgroup.com/primo-explore/search?tab=default_tab&amp;search_scope=EVERYTHING&amp;vid=01CRU&amp;lang=en_US&amp;offset=0&amp;query=any,contains,991005355859702656","Catalog Record")</f>
        <v/>
      </c>
      <c r="AT526">
        <f>HYPERLINK("http://www.worldcat.org/oclc/558189","WorldCat Record")</f>
        <v/>
      </c>
      <c r="AU526" t="inlineStr">
        <is>
          <t>61486993:ger</t>
        </is>
      </c>
      <c r="AV526" t="inlineStr">
        <is>
          <t>558189</t>
        </is>
      </c>
      <c r="AW526" t="inlineStr">
        <is>
          <t>991005355859702656</t>
        </is>
      </c>
      <c r="AX526" t="inlineStr">
        <is>
          <t>991005355859702656</t>
        </is>
      </c>
      <c r="AY526" t="inlineStr">
        <is>
          <t>2258196550002656</t>
        </is>
      </c>
      <c r="AZ526" t="inlineStr">
        <is>
          <t>BOOK</t>
        </is>
      </c>
      <c r="BC526" t="inlineStr">
        <is>
          <t>32285002793031</t>
        </is>
      </c>
      <c r="BD526" t="inlineStr">
        <is>
          <t>893701438</t>
        </is>
      </c>
    </row>
    <row r="527">
      <c r="A527" t="inlineStr">
        <is>
          <t>No</t>
        </is>
      </c>
      <c r="B527" t="inlineStr">
        <is>
          <t>QD251 .B4</t>
        </is>
      </c>
      <c r="C527" t="inlineStr">
        <is>
          <t>0                      QD 0251000B  4</t>
        </is>
      </c>
      <c r="D527" t="inlineStr">
        <is>
          <t>Handbuch der organischen Chemie.</t>
        </is>
      </c>
      <c r="E527" t="inlineStr">
        <is>
          <t>V.28 PT.2</t>
        </is>
      </c>
      <c r="F527" t="inlineStr">
        <is>
          <t>Yes</t>
        </is>
      </c>
      <c r="G527" t="inlineStr">
        <is>
          <t>1</t>
        </is>
      </c>
      <c r="H527" t="inlineStr">
        <is>
          <t>No</t>
        </is>
      </c>
      <c r="I527" t="inlineStr">
        <is>
          <t>No</t>
        </is>
      </c>
      <c r="J527" t="inlineStr">
        <is>
          <t>0</t>
        </is>
      </c>
      <c r="K527" t="inlineStr">
        <is>
          <t>Beilstein, Friedrich Konrad, 1838-1906.</t>
        </is>
      </c>
      <c r="L527" t="inlineStr">
        <is>
          <t>Berlin, J.Springer, 1918-40.</t>
        </is>
      </c>
      <c r="M527" t="inlineStr">
        <is>
          <t>1918</t>
        </is>
      </c>
      <c r="N527" t="inlineStr">
        <is>
          <t>4. Aufl.</t>
        </is>
      </c>
      <c r="O527" t="inlineStr">
        <is>
          <t>ger</t>
        </is>
      </c>
      <c r="P527" t="inlineStr">
        <is>
          <t xml:space="preserve">xx </t>
        </is>
      </c>
      <c r="R527" t="inlineStr">
        <is>
          <t xml:space="preserve">QD </t>
        </is>
      </c>
      <c r="S527" t="n">
        <v>1</v>
      </c>
      <c r="T527" t="n">
        <v>33</v>
      </c>
      <c r="U527" t="inlineStr">
        <is>
          <t>1998-07-27</t>
        </is>
      </c>
      <c r="V527" t="inlineStr">
        <is>
          <t>1998-07-27</t>
        </is>
      </c>
      <c r="W527" t="inlineStr">
        <is>
          <t>1997-06-10</t>
        </is>
      </c>
      <c r="X527" t="inlineStr">
        <is>
          <t>1997-06-10</t>
        </is>
      </c>
      <c r="Y527" t="n">
        <v>128</v>
      </c>
      <c r="Z527" t="n">
        <v>112</v>
      </c>
      <c r="AA527" t="n">
        <v>133</v>
      </c>
      <c r="AB527" t="n">
        <v>2</v>
      </c>
      <c r="AC527" t="n">
        <v>3</v>
      </c>
      <c r="AD527" t="n">
        <v>3</v>
      </c>
      <c r="AE527" t="n">
        <v>5</v>
      </c>
      <c r="AF527" t="n">
        <v>1</v>
      </c>
      <c r="AG527" t="n">
        <v>1</v>
      </c>
      <c r="AH527" t="n">
        <v>1</v>
      </c>
      <c r="AI527" t="n">
        <v>2</v>
      </c>
      <c r="AJ527" t="n">
        <v>1</v>
      </c>
      <c r="AK527" t="n">
        <v>2</v>
      </c>
      <c r="AL527" t="n">
        <v>1</v>
      </c>
      <c r="AM527" t="n">
        <v>2</v>
      </c>
      <c r="AN527" t="n">
        <v>0</v>
      </c>
      <c r="AO527" t="n">
        <v>0</v>
      </c>
      <c r="AP527" t="inlineStr">
        <is>
          <t>Yes</t>
        </is>
      </c>
      <c r="AQ527" t="inlineStr">
        <is>
          <t>Yes</t>
        </is>
      </c>
      <c r="AR527">
        <f>HYPERLINK("http://catalog.hathitrust.org/Record/008863082","HathiTrust Record")</f>
        <v/>
      </c>
      <c r="AS527">
        <f>HYPERLINK("https://creighton-primo.hosted.exlibrisgroup.com/primo-explore/search?tab=default_tab&amp;search_scope=EVERYTHING&amp;vid=01CRU&amp;lang=en_US&amp;offset=0&amp;query=any,contains,991005355859702656","Catalog Record")</f>
        <v/>
      </c>
      <c r="AT527">
        <f>HYPERLINK("http://www.worldcat.org/oclc/558189","WorldCat Record")</f>
        <v/>
      </c>
      <c r="AU527" t="inlineStr">
        <is>
          <t>61486993:ger</t>
        </is>
      </c>
      <c r="AV527" t="inlineStr">
        <is>
          <t>558189</t>
        </is>
      </c>
      <c r="AW527" t="inlineStr">
        <is>
          <t>991005355859702656</t>
        </is>
      </c>
      <c r="AX527" t="inlineStr">
        <is>
          <t>991005355859702656</t>
        </is>
      </c>
      <c r="AY527" t="inlineStr">
        <is>
          <t>2258196550002656</t>
        </is>
      </c>
      <c r="AZ527" t="inlineStr">
        <is>
          <t>BOOK</t>
        </is>
      </c>
      <c r="BC527" t="inlineStr">
        <is>
          <t>32285002793189</t>
        </is>
      </c>
      <c r="BD527" t="inlineStr">
        <is>
          <t>893707704</t>
        </is>
      </c>
    </row>
    <row r="528">
      <c r="A528" t="inlineStr">
        <is>
          <t>No</t>
        </is>
      </c>
      <c r="B528" t="inlineStr">
        <is>
          <t>QD251 .B4</t>
        </is>
      </c>
      <c r="C528" t="inlineStr">
        <is>
          <t>0                      QD 0251000B  4</t>
        </is>
      </c>
      <c r="D528" t="inlineStr">
        <is>
          <t>Handbuch der organischen Chemie.</t>
        </is>
      </c>
      <c r="E528" t="inlineStr">
        <is>
          <t>V.30</t>
        </is>
      </c>
      <c r="F528" t="inlineStr">
        <is>
          <t>Yes</t>
        </is>
      </c>
      <c r="G528" t="inlineStr">
        <is>
          <t>1</t>
        </is>
      </c>
      <c r="H528" t="inlineStr">
        <is>
          <t>No</t>
        </is>
      </c>
      <c r="I528" t="inlineStr">
        <is>
          <t>No</t>
        </is>
      </c>
      <c r="J528" t="inlineStr">
        <is>
          <t>0</t>
        </is>
      </c>
      <c r="K528" t="inlineStr">
        <is>
          <t>Beilstein, Friedrich Konrad, 1838-1906.</t>
        </is>
      </c>
      <c r="L528" t="inlineStr">
        <is>
          <t>Berlin, J.Springer, 1918-40.</t>
        </is>
      </c>
      <c r="M528" t="inlineStr">
        <is>
          <t>1918</t>
        </is>
      </c>
      <c r="N528" t="inlineStr">
        <is>
          <t>4. Aufl.</t>
        </is>
      </c>
      <c r="O528" t="inlineStr">
        <is>
          <t>ger</t>
        </is>
      </c>
      <c r="P528" t="inlineStr">
        <is>
          <t xml:space="preserve">xx </t>
        </is>
      </c>
      <c r="R528" t="inlineStr">
        <is>
          <t xml:space="preserve">QD </t>
        </is>
      </c>
      <c r="S528" t="n">
        <v>1</v>
      </c>
      <c r="T528" t="n">
        <v>33</v>
      </c>
      <c r="U528" t="inlineStr">
        <is>
          <t>1998-07-27</t>
        </is>
      </c>
      <c r="V528" t="inlineStr">
        <is>
          <t>1998-07-27</t>
        </is>
      </c>
      <c r="W528" t="inlineStr">
        <is>
          <t>1997-06-10</t>
        </is>
      </c>
      <c r="X528" t="inlineStr">
        <is>
          <t>1997-06-10</t>
        </is>
      </c>
      <c r="Y528" t="n">
        <v>128</v>
      </c>
      <c r="Z528" t="n">
        <v>112</v>
      </c>
      <c r="AA528" t="n">
        <v>133</v>
      </c>
      <c r="AB528" t="n">
        <v>2</v>
      </c>
      <c r="AC528" t="n">
        <v>3</v>
      </c>
      <c r="AD528" t="n">
        <v>3</v>
      </c>
      <c r="AE528" t="n">
        <v>5</v>
      </c>
      <c r="AF528" t="n">
        <v>1</v>
      </c>
      <c r="AG528" t="n">
        <v>1</v>
      </c>
      <c r="AH528" t="n">
        <v>1</v>
      </c>
      <c r="AI528" t="n">
        <v>2</v>
      </c>
      <c r="AJ528" t="n">
        <v>1</v>
      </c>
      <c r="AK528" t="n">
        <v>2</v>
      </c>
      <c r="AL528" t="n">
        <v>1</v>
      </c>
      <c r="AM528" t="n">
        <v>2</v>
      </c>
      <c r="AN528" t="n">
        <v>0</v>
      </c>
      <c r="AO528" t="n">
        <v>0</v>
      </c>
      <c r="AP528" t="inlineStr">
        <is>
          <t>Yes</t>
        </is>
      </c>
      <c r="AQ528" t="inlineStr">
        <is>
          <t>Yes</t>
        </is>
      </c>
      <c r="AR528">
        <f>HYPERLINK("http://catalog.hathitrust.org/Record/008863082","HathiTrust Record")</f>
        <v/>
      </c>
      <c r="AS528">
        <f>HYPERLINK("https://creighton-primo.hosted.exlibrisgroup.com/primo-explore/search?tab=default_tab&amp;search_scope=EVERYTHING&amp;vid=01CRU&amp;lang=en_US&amp;offset=0&amp;query=any,contains,991005355859702656","Catalog Record")</f>
        <v/>
      </c>
      <c r="AT528">
        <f>HYPERLINK("http://www.worldcat.org/oclc/558189","WorldCat Record")</f>
        <v/>
      </c>
      <c r="AU528" t="inlineStr">
        <is>
          <t>61486993:ger</t>
        </is>
      </c>
      <c r="AV528" t="inlineStr">
        <is>
          <t>558189</t>
        </is>
      </c>
      <c r="AW528" t="inlineStr">
        <is>
          <t>991005355859702656</t>
        </is>
      </c>
      <c r="AX528" t="inlineStr">
        <is>
          <t>991005355859702656</t>
        </is>
      </c>
      <c r="AY528" t="inlineStr">
        <is>
          <t>2258196550002656</t>
        </is>
      </c>
      <c r="AZ528" t="inlineStr">
        <is>
          <t>BOOK</t>
        </is>
      </c>
      <c r="BC528" t="inlineStr">
        <is>
          <t>32285002793213</t>
        </is>
      </c>
      <c r="BD528" t="inlineStr">
        <is>
          <t>893707703</t>
        </is>
      </c>
    </row>
    <row r="529">
      <c r="A529" t="inlineStr">
        <is>
          <t>No</t>
        </is>
      </c>
      <c r="B529" t="inlineStr">
        <is>
          <t>QD251 .B4</t>
        </is>
      </c>
      <c r="C529" t="inlineStr">
        <is>
          <t>0                      QD 0251000B  4</t>
        </is>
      </c>
      <c r="D529" t="inlineStr">
        <is>
          <t>Handbuch der organischen Chemie.</t>
        </is>
      </c>
      <c r="E529" t="inlineStr">
        <is>
          <t>V.1</t>
        </is>
      </c>
      <c r="F529" t="inlineStr">
        <is>
          <t>Yes</t>
        </is>
      </c>
      <c r="G529" t="inlineStr">
        <is>
          <t>1</t>
        </is>
      </c>
      <c r="H529" t="inlineStr">
        <is>
          <t>No</t>
        </is>
      </c>
      <c r="I529" t="inlineStr">
        <is>
          <t>No</t>
        </is>
      </c>
      <c r="J529" t="inlineStr">
        <is>
          <t>0</t>
        </is>
      </c>
      <c r="K529" t="inlineStr">
        <is>
          <t>Beilstein, Friedrich Konrad, 1838-1906.</t>
        </is>
      </c>
      <c r="L529" t="inlineStr">
        <is>
          <t>Berlin, J.Springer, 1918-40.</t>
        </is>
      </c>
      <c r="M529" t="inlineStr">
        <is>
          <t>1918</t>
        </is>
      </c>
      <c r="N529" t="inlineStr">
        <is>
          <t>4. Aufl.</t>
        </is>
      </c>
      <c r="O529" t="inlineStr">
        <is>
          <t>ger</t>
        </is>
      </c>
      <c r="P529" t="inlineStr">
        <is>
          <t xml:space="preserve">xx </t>
        </is>
      </c>
      <c r="R529" t="inlineStr">
        <is>
          <t xml:space="preserve">QD </t>
        </is>
      </c>
      <c r="S529" t="n">
        <v>1</v>
      </c>
      <c r="T529" t="n">
        <v>33</v>
      </c>
      <c r="U529" t="inlineStr">
        <is>
          <t>1998-07-27</t>
        </is>
      </c>
      <c r="V529" t="inlineStr">
        <is>
          <t>1998-07-27</t>
        </is>
      </c>
      <c r="W529" t="inlineStr">
        <is>
          <t>1997-06-10</t>
        </is>
      </c>
      <c r="X529" t="inlineStr">
        <is>
          <t>1997-06-10</t>
        </is>
      </c>
      <c r="Y529" t="n">
        <v>128</v>
      </c>
      <c r="Z529" t="n">
        <v>112</v>
      </c>
      <c r="AA529" t="n">
        <v>133</v>
      </c>
      <c r="AB529" t="n">
        <v>2</v>
      </c>
      <c r="AC529" t="n">
        <v>3</v>
      </c>
      <c r="AD529" t="n">
        <v>3</v>
      </c>
      <c r="AE529" t="n">
        <v>5</v>
      </c>
      <c r="AF529" t="n">
        <v>1</v>
      </c>
      <c r="AG529" t="n">
        <v>1</v>
      </c>
      <c r="AH529" t="n">
        <v>1</v>
      </c>
      <c r="AI529" t="n">
        <v>2</v>
      </c>
      <c r="AJ529" t="n">
        <v>1</v>
      </c>
      <c r="AK529" t="n">
        <v>2</v>
      </c>
      <c r="AL529" t="n">
        <v>1</v>
      </c>
      <c r="AM529" t="n">
        <v>2</v>
      </c>
      <c r="AN529" t="n">
        <v>0</v>
      </c>
      <c r="AO529" t="n">
        <v>0</v>
      </c>
      <c r="AP529" t="inlineStr">
        <is>
          <t>Yes</t>
        </is>
      </c>
      <c r="AQ529" t="inlineStr">
        <is>
          <t>Yes</t>
        </is>
      </c>
      <c r="AR529">
        <f>HYPERLINK("http://catalog.hathitrust.org/Record/008863082","HathiTrust Record")</f>
        <v/>
      </c>
      <c r="AS529">
        <f>HYPERLINK("https://creighton-primo.hosted.exlibrisgroup.com/primo-explore/search?tab=default_tab&amp;search_scope=EVERYTHING&amp;vid=01CRU&amp;lang=en_US&amp;offset=0&amp;query=any,contains,991005355859702656","Catalog Record")</f>
        <v/>
      </c>
      <c r="AT529">
        <f>HYPERLINK("http://www.worldcat.org/oclc/558189","WorldCat Record")</f>
        <v/>
      </c>
      <c r="AU529" t="inlineStr">
        <is>
          <t>61486993:ger</t>
        </is>
      </c>
      <c r="AV529" t="inlineStr">
        <is>
          <t>558189</t>
        </is>
      </c>
      <c r="AW529" t="inlineStr">
        <is>
          <t>991005355859702656</t>
        </is>
      </c>
      <c r="AX529" t="inlineStr">
        <is>
          <t>991005355859702656</t>
        </is>
      </c>
      <c r="AY529" t="inlineStr">
        <is>
          <t>2258196550002656</t>
        </is>
      </c>
      <c r="AZ529" t="inlineStr">
        <is>
          <t>BOOK</t>
        </is>
      </c>
      <c r="BC529" t="inlineStr">
        <is>
          <t>32285002792900</t>
        </is>
      </c>
      <c r="BD529" t="inlineStr">
        <is>
          <t>893695180</t>
        </is>
      </c>
    </row>
    <row r="530">
      <c r="A530" t="inlineStr">
        <is>
          <t>No</t>
        </is>
      </c>
      <c r="B530" t="inlineStr">
        <is>
          <t>QD251 .B4</t>
        </is>
      </c>
      <c r="C530" t="inlineStr">
        <is>
          <t>0                      QD 0251000B  4</t>
        </is>
      </c>
      <c r="D530" t="inlineStr">
        <is>
          <t>Handbuch der organischen Chemie.</t>
        </is>
      </c>
      <c r="E530" t="inlineStr">
        <is>
          <t>V.16</t>
        </is>
      </c>
      <c r="F530" t="inlineStr">
        <is>
          <t>Yes</t>
        </is>
      </c>
      <c r="G530" t="inlineStr">
        <is>
          <t>1</t>
        </is>
      </c>
      <c r="H530" t="inlineStr">
        <is>
          <t>No</t>
        </is>
      </c>
      <c r="I530" t="inlineStr">
        <is>
          <t>No</t>
        </is>
      </c>
      <c r="J530" t="inlineStr">
        <is>
          <t>0</t>
        </is>
      </c>
      <c r="K530" t="inlineStr">
        <is>
          <t>Beilstein, Friedrich Konrad, 1838-1906.</t>
        </is>
      </c>
      <c r="L530" t="inlineStr">
        <is>
          <t>Berlin, J.Springer, 1918-40.</t>
        </is>
      </c>
      <c r="M530" t="inlineStr">
        <is>
          <t>1918</t>
        </is>
      </c>
      <c r="N530" t="inlineStr">
        <is>
          <t>4. Aufl.</t>
        </is>
      </c>
      <c r="O530" t="inlineStr">
        <is>
          <t>ger</t>
        </is>
      </c>
      <c r="P530" t="inlineStr">
        <is>
          <t xml:space="preserve">xx </t>
        </is>
      </c>
      <c r="R530" t="inlineStr">
        <is>
          <t xml:space="preserve">QD </t>
        </is>
      </c>
      <c r="S530" t="n">
        <v>1</v>
      </c>
      <c r="T530" t="n">
        <v>33</v>
      </c>
      <c r="U530" t="inlineStr">
        <is>
          <t>1998-07-27</t>
        </is>
      </c>
      <c r="V530" t="inlineStr">
        <is>
          <t>1998-07-27</t>
        </is>
      </c>
      <c r="W530" t="inlineStr">
        <is>
          <t>1997-06-10</t>
        </is>
      </c>
      <c r="X530" t="inlineStr">
        <is>
          <t>1997-06-10</t>
        </is>
      </c>
      <c r="Y530" t="n">
        <v>128</v>
      </c>
      <c r="Z530" t="n">
        <v>112</v>
      </c>
      <c r="AA530" t="n">
        <v>133</v>
      </c>
      <c r="AB530" t="n">
        <v>2</v>
      </c>
      <c r="AC530" t="n">
        <v>3</v>
      </c>
      <c r="AD530" t="n">
        <v>3</v>
      </c>
      <c r="AE530" t="n">
        <v>5</v>
      </c>
      <c r="AF530" t="n">
        <v>1</v>
      </c>
      <c r="AG530" t="n">
        <v>1</v>
      </c>
      <c r="AH530" t="n">
        <v>1</v>
      </c>
      <c r="AI530" t="n">
        <v>2</v>
      </c>
      <c r="AJ530" t="n">
        <v>1</v>
      </c>
      <c r="AK530" t="n">
        <v>2</v>
      </c>
      <c r="AL530" t="n">
        <v>1</v>
      </c>
      <c r="AM530" t="n">
        <v>2</v>
      </c>
      <c r="AN530" t="n">
        <v>0</v>
      </c>
      <c r="AO530" t="n">
        <v>0</v>
      </c>
      <c r="AP530" t="inlineStr">
        <is>
          <t>Yes</t>
        </is>
      </c>
      <c r="AQ530" t="inlineStr">
        <is>
          <t>Yes</t>
        </is>
      </c>
      <c r="AR530">
        <f>HYPERLINK("http://catalog.hathitrust.org/Record/008863082","HathiTrust Record")</f>
        <v/>
      </c>
      <c r="AS530">
        <f>HYPERLINK("https://creighton-primo.hosted.exlibrisgroup.com/primo-explore/search?tab=default_tab&amp;search_scope=EVERYTHING&amp;vid=01CRU&amp;lang=en_US&amp;offset=0&amp;query=any,contains,991005355859702656","Catalog Record")</f>
        <v/>
      </c>
      <c r="AT530">
        <f>HYPERLINK("http://www.worldcat.org/oclc/558189","WorldCat Record")</f>
        <v/>
      </c>
      <c r="AU530" t="inlineStr">
        <is>
          <t>61486993:ger</t>
        </is>
      </c>
      <c r="AV530" t="inlineStr">
        <is>
          <t>558189</t>
        </is>
      </c>
      <c r="AW530" t="inlineStr">
        <is>
          <t>991005355859702656</t>
        </is>
      </c>
      <c r="AX530" t="inlineStr">
        <is>
          <t>991005355859702656</t>
        </is>
      </c>
      <c r="AY530" t="inlineStr">
        <is>
          <t>2258196550002656</t>
        </is>
      </c>
      <c r="AZ530" t="inlineStr">
        <is>
          <t>BOOK</t>
        </is>
      </c>
      <c r="BC530" t="inlineStr">
        <is>
          <t>32285002793056</t>
        </is>
      </c>
      <c r="BD530" t="inlineStr">
        <is>
          <t>893707707</t>
        </is>
      </c>
    </row>
    <row r="531">
      <c r="A531" t="inlineStr">
        <is>
          <t>No</t>
        </is>
      </c>
      <c r="B531" t="inlineStr">
        <is>
          <t>QD251 .B4</t>
        </is>
      </c>
      <c r="C531" t="inlineStr">
        <is>
          <t>0                      QD 0251000B  4</t>
        </is>
      </c>
      <c r="D531" t="inlineStr">
        <is>
          <t>Handbuch der organischen Chemie.</t>
        </is>
      </c>
      <c r="E531" t="inlineStr">
        <is>
          <t>V.23</t>
        </is>
      </c>
      <c r="F531" t="inlineStr">
        <is>
          <t>Yes</t>
        </is>
      </c>
      <c r="G531" t="inlineStr">
        <is>
          <t>1</t>
        </is>
      </c>
      <c r="H531" t="inlineStr">
        <is>
          <t>No</t>
        </is>
      </c>
      <c r="I531" t="inlineStr">
        <is>
          <t>No</t>
        </is>
      </c>
      <c r="J531" t="inlineStr">
        <is>
          <t>0</t>
        </is>
      </c>
      <c r="K531" t="inlineStr">
        <is>
          <t>Beilstein, Friedrich Konrad, 1838-1906.</t>
        </is>
      </c>
      <c r="L531" t="inlineStr">
        <is>
          <t>Berlin, J.Springer, 1918-40.</t>
        </is>
      </c>
      <c r="M531" t="inlineStr">
        <is>
          <t>1918</t>
        </is>
      </c>
      <c r="N531" t="inlineStr">
        <is>
          <t>4. Aufl.</t>
        </is>
      </c>
      <c r="O531" t="inlineStr">
        <is>
          <t>ger</t>
        </is>
      </c>
      <c r="P531" t="inlineStr">
        <is>
          <t xml:space="preserve">xx </t>
        </is>
      </c>
      <c r="R531" t="inlineStr">
        <is>
          <t xml:space="preserve">QD </t>
        </is>
      </c>
      <c r="S531" t="n">
        <v>1</v>
      </c>
      <c r="T531" t="n">
        <v>33</v>
      </c>
      <c r="U531" t="inlineStr">
        <is>
          <t>1998-07-27</t>
        </is>
      </c>
      <c r="V531" t="inlineStr">
        <is>
          <t>1998-07-27</t>
        </is>
      </c>
      <c r="W531" t="inlineStr">
        <is>
          <t>1997-06-10</t>
        </is>
      </c>
      <c r="X531" t="inlineStr">
        <is>
          <t>1997-06-10</t>
        </is>
      </c>
      <c r="Y531" t="n">
        <v>128</v>
      </c>
      <c r="Z531" t="n">
        <v>112</v>
      </c>
      <c r="AA531" t="n">
        <v>133</v>
      </c>
      <c r="AB531" t="n">
        <v>2</v>
      </c>
      <c r="AC531" t="n">
        <v>3</v>
      </c>
      <c r="AD531" t="n">
        <v>3</v>
      </c>
      <c r="AE531" t="n">
        <v>5</v>
      </c>
      <c r="AF531" t="n">
        <v>1</v>
      </c>
      <c r="AG531" t="n">
        <v>1</v>
      </c>
      <c r="AH531" t="n">
        <v>1</v>
      </c>
      <c r="AI531" t="n">
        <v>2</v>
      </c>
      <c r="AJ531" t="n">
        <v>1</v>
      </c>
      <c r="AK531" t="n">
        <v>2</v>
      </c>
      <c r="AL531" t="n">
        <v>1</v>
      </c>
      <c r="AM531" t="n">
        <v>2</v>
      </c>
      <c r="AN531" t="n">
        <v>0</v>
      </c>
      <c r="AO531" t="n">
        <v>0</v>
      </c>
      <c r="AP531" t="inlineStr">
        <is>
          <t>Yes</t>
        </is>
      </c>
      <c r="AQ531" t="inlineStr">
        <is>
          <t>Yes</t>
        </is>
      </c>
      <c r="AR531">
        <f>HYPERLINK("http://catalog.hathitrust.org/Record/008863082","HathiTrust Record")</f>
        <v/>
      </c>
      <c r="AS531">
        <f>HYPERLINK("https://creighton-primo.hosted.exlibrisgroup.com/primo-explore/search?tab=default_tab&amp;search_scope=EVERYTHING&amp;vid=01CRU&amp;lang=en_US&amp;offset=0&amp;query=any,contains,991005355859702656","Catalog Record")</f>
        <v/>
      </c>
      <c r="AT531">
        <f>HYPERLINK("http://www.worldcat.org/oclc/558189","WorldCat Record")</f>
        <v/>
      </c>
      <c r="AU531" t="inlineStr">
        <is>
          <t>61486993:ger</t>
        </is>
      </c>
      <c r="AV531" t="inlineStr">
        <is>
          <t>558189</t>
        </is>
      </c>
      <c r="AW531" t="inlineStr">
        <is>
          <t>991005355859702656</t>
        </is>
      </c>
      <c r="AX531" t="inlineStr">
        <is>
          <t>991005355859702656</t>
        </is>
      </c>
      <c r="AY531" t="inlineStr">
        <is>
          <t>2258196550002656</t>
        </is>
      </c>
      <c r="AZ531" t="inlineStr">
        <is>
          <t>BOOK</t>
        </is>
      </c>
      <c r="BC531" t="inlineStr">
        <is>
          <t>32285002793122</t>
        </is>
      </c>
      <c r="BD531" t="inlineStr">
        <is>
          <t>893707705</t>
        </is>
      </c>
    </row>
    <row r="532">
      <c r="A532" t="inlineStr">
        <is>
          <t>No</t>
        </is>
      </c>
      <c r="B532" t="inlineStr">
        <is>
          <t>QD251 .B4</t>
        </is>
      </c>
      <c r="C532" t="inlineStr">
        <is>
          <t>0                      QD 0251000B  4</t>
        </is>
      </c>
      <c r="D532" t="inlineStr">
        <is>
          <t>Handbuch der organischen Chemie.</t>
        </is>
      </c>
      <c r="E532" t="inlineStr">
        <is>
          <t>V.22</t>
        </is>
      </c>
      <c r="F532" t="inlineStr">
        <is>
          <t>Yes</t>
        </is>
      </c>
      <c r="G532" t="inlineStr">
        <is>
          <t>1</t>
        </is>
      </c>
      <c r="H532" t="inlineStr">
        <is>
          <t>No</t>
        </is>
      </c>
      <c r="I532" t="inlineStr">
        <is>
          <t>No</t>
        </is>
      </c>
      <c r="J532" t="inlineStr">
        <is>
          <t>0</t>
        </is>
      </c>
      <c r="K532" t="inlineStr">
        <is>
          <t>Beilstein, Friedrich Konrad, 1838-1906.</t>
        </is>
      </c>
      <c r="L532" t="inlineStr">
        <is>
          <t>Berlin, J.Springer, 1918-40.</t>
        </is>
      </c>
      <c r="M532" t="inlineStr">
        <is>
          <t>1918</t>
        </is>
      </c>
      <c r="N532" t="inlineStr">
        <is>
          <t>4. Aufl.</t>
        </is>
      </c>
      <c r="O532" t="inlineStr">
        <is>
          <t>ger</t>
        </is>
      </c>
      <c r="P532" t="inlineStr">
        <is>
          <t xml:space="preserve">xx </t>
        </is>
      </c>
      <c r="R532" t="inlineStr">
        <is>
          <t xml:space="preserve">QD </t>
        </is>
      </c>
      <c r="S532" t="n">
        <v>1</v>
      </c>
      <c r="T532" t="n">
        <v>33</v>
      </c>
      <c r="U532" t="inlineStr">
        <is>
          <t>1998-07-27</t>
        </is>
      </c>
      <c r="V532" t="inlineStr">
        <is>
          <t>1998-07-27</t>
        </is>
      </c>
      <c r="W532" t="inlineStr">
        <is>
          <t>1997-06-10</t>
        </is>
      </c>
      <c r="X532" t="inlineStr">
        <is>
          <t>1997-06-10</t>
        </is>
      </c>
      <c r="Y532" t="n">
        <v>128</v>
      </c>
      <c r="Z532" t="n">
        <v>112</v>
      </c>
      <c r="AA532" t="n">
        <v>133</v>
      </c>
      <c r="AB532" t="n">
        <v>2</v>
      </c>
      <c r="AC532" t="n">
        <v>3</v>
      </c>
      <c r="AD532" t="n">
        <v>3</v>
      </c>
      <c r="AE532" t="n">
        <v>5</v>
      </c>
      <c r="AF532" t="n">
        <v>1</v>
      </c>
      <c r="AG532" t="n">
        <v>1</v>
      </c>
      <c r="AH532" t="n">
        <v>1</v>
      </c>
      <c r="AI532" t="n">
        <v>2</v>
      </c>
      <c r="AJ532" t="n">
        <v>1</v>
      </c>
      <c r="AK532" t="n">
        <v>2</v>
      </c>
      <c r="AL532" t="n">
        <v>1</v>
      </c>
      <c r="AM532" t="n">
        <v>2</v>
      </c>
      <c r="AN532" t="n">
        <v>0</v>
      </c>
      <c r="AO532" t="n">
        <v>0</v>
      </c>
      <c r="AP532" t="inlineStr">
        <is>
          <t>Yes</t>
        </is>
      </c>
      <c r="AQ532" t="inlineStr">
        <is>
          <t>Yes</t>
        </is>
      </c>
      <c r="AR532">
        <f>HYPERLINK("http://catalog.hathitrust.org/Record/008863082","HathiTrust Record")</f>
        <v/>
      </c>
      <c r="AS532">
        <f>HYPERLINK("https://creighton-primo.hosted.exlibrisgroup.com/primo-explore/search?tab=default_tab&amp;search_scope=EVERYTHING&amp;vid=01CRU&amp;lang=en_US&amp;offset=0&amp;query=any,contains,991005355859702656","Catalog Record")</f>
        <v/>
      </c>
      <c r="AT532">
        <f>HYPERLINK("http://www.worldcat.org/oclc/558189","WorldCat Record")</f>
        <v/>
      </c>
      <c r="AU532" t="inlineStr">
        <is>
          <t>61486993:ger</t>
        </is>
      </c>
      <c r="AV532" t="inlineStr">
        <is>
          <t>558189</t>
        </is>
      </c>
      <c r="AW532" t="inlineStr">
        <is>
          <t>991005355859702656</t>
        </is>
      </c>
      <c r="AX532" t="inlineStr">
        <is>
          <t>991005355859702656</t>
        </is>
      </c>
      <c r="AY532" t="inlineStr">
        <is>
          <t>2258196550002656</t>
        </is>
      </c>
      <c r="AZ532" t="inlineStr">
        <is>
          <t>BOOK</t>
        </is>
      </c>
      <c r="BC532" t="inlineStr">
        <is>
          <t>32285002793114</t>
        </is>
      </c>
      <c r="BD532" t="inlineStr">
        <is>
          <t>893722927</t>
        </is>
      </c>
    </row>
    <row r="533">
      <c r="A533" t="inlineStr">
        <is>
          <t>No</t>
        </is>
      </c>
      <c r="B533" t="inlineStr">
        <is>
          <t>QD251 .B4</t>
        </is>
      </c>
      <c r="C533" t="inlineStr">
        <is>
          <t>0                      QD 0251000B  4</t>
        </is>
      </c>
      <c r="D533" t="inlineStr">
        <is>
          <t>Handbuch der organischen Chemie.</t>
        </is>
      </c>
      <c r="E533" t="inlineStr">
        <is>
          <t>V.17</t>
        </is>
      </c>
      <c r="F533" t="inlineStr">
        <is>
          <t>Yes</t>
        </is>
      </c>
      <c r="G533" t="inlineStr">
        <is>
          <t>1</t>
        </is>
      </c>
      <c r="H533" t="inlineStr">
        <is>
          <t>No</t>
        </is>
      </c>
      <c r="I533" t="inlineStr">
        <is>
          <t>No</t>
        </is>
      </c>
      <c r="J533" t="inlineStr">
        <is>
          <t>0</t>
        </is>
      </c>
      <c r="K533" t="inlineStr">
        <is>
          <t>Beilstein, Friedrich Konrad, 1838-1906.</t>
        </is>
      </c>
      <c r="L533" t="inlineStr">
        <is>
          <t>Berlin, J.Springer, 1918-40.</t>
        </is>
      </c>
      <c r="M533" t="inlineStr">
        <is>
          <t>1918</t>
        </is>
      </c>
      <c r="N533" t="inlineStr">
        <is>
          <t>4. Aufl.</t>
        </is>
      </c>
      <c r="O533" t="inlineStr">
        <is>
          <t>ger</t>
        </is>
      </c>
      <c r="P533" t="inlineStr">
        <is>
          <t xml:space="preserve">xx </t>
        </is>
      </c>
      <c r="R533" t="inlineStr">
        <is>
          <t xml:space="preserve">QD </t>
        </is>
      </c>
      <c r="S533" t="n">
        <v>1</v>
      </c>
      <c r="T533" t="n">
        <v>33</v>
      </c>
      <c r="U533" t="inlineStr">
        <is>
          <t>1998-07-27</t>
        </is>
      </c>
      <c r="V533" t="inlineStr">
        <is>
          <t>1998-07-27</t>
        </is>
      </c>
      <c r="W533" t="inlineStr">
        <is>
          <t>1997-06-10</t>
        </is>
      </c>
      <c r="X533" t="inlineStr">
        <is>
          <t>1997-06-10</t>
        </is>
      </c>
      <c r="Y533" t="n">
        <v>128</v>
      </c>
      <c r="Z533" t="n">
        <v>112</v>
      </c>
      <c r="AA533" t="n">
        <v>133</v>
      </c>
      <c r="AB533" t="n">
        <v>2</v>
      </c>
      <c r="AC533" t="n">
        <v>3</v>
      </c>
      <c r="AD533" t="n">
        <v>3</v>
      </c>
      <c r="AE533" t="n">
        <v>5</v>
      </c>
      <c r="AF533" t="n">
        <v>1</v>
      </c>
      <c r="AG533" t="n">
        <v>1</v>
      </c>
      <c r="AH533" t="n">
        <v>1</v>
      </c>
      <c r="AI533" t="n">
        <v>2</v>
      </c>
      <c r="AJ533" t="n">
        <v>1</v>
      </c>
      <c r="AK533" t="n">
        <v>2</v>
      </c>
      <c r="AL533" t="n">
        <v>1</v>
      </c>
      <c r="AM533" t="n">
        <v>2</v>
      </c>
      <c r="AN533" t="n">
        <v>0</v>
      </c>
      <c r="AO533" t="n">
        <v>0</v>
      </c>
      <c r="AP533" t="inlineStr">
        <is>
          <t>Yes</t>
        </is>
      </c>
      <c r="AQ533" t="inlineStr">
        <is>
          <t>Yes</t>
        </is>
      </c>
      <c r="AR533">
        <f>HYPERLINK("http://catalog.hathitrust.org/Record/008863082","HathiTrust Record")</f>
        <v/>
      </c>
      <c r="AS533">
        <f>HYPERLINK("https://creighton-primo.hosted.exlibrisgroup.com/primo-explore/search?tab=default_tab&amp;search_scope=EVERYTHING&amp;vid=01CRU&amp;lang=en_US&amp;offset=0&amp;query=any,contains,991005355859702656","Catalog Record")</f>
        <v/>
      </c>
      <c r="AT533">
        <f>HYPERLINK("http://www.worldcat.org/oclc/558189","WorldCat Record")</f>
        <v/>
      </c>
      <c r="AU533" t="inlineStr">
        <is>
          <t>61486993:ger</t>
        </is>
      </c>
      <c r="AV533" t="inlineStr">
        <is>
          <t>558189</t>
        </is>
      </c>
      <c r="AW533" t="inlineStr">
        <is>
          <t>991005355859702656</t>
        </is>
      </c>
      <c r="AX533" t="inlineStr">
        <is>
          <t>991005355859702656</t>
        </is>
      </c>
      <c r="AY533" t="inlineStr">
        <is>
          <t>2258196550002656</t>
        </is>
      </c>
      <c r="AZ533" t="inlineStr">
        <is>
          <t>BOOK</t>
        </is>
      </c>
      <c r="BC533" t="inlineStr">
        <is>
          <t>32285002793064</t>
        </is>
      </c>
      <c r="BD533" t="inlineStr">
        <is>
          <t>893720232</t>
        </is>
      </c>
    </row>
    <row r="534">
      <c r="A534" t="inlineStr">
        <is>
          <t>No</t>
        </is>
      </c>
      <c r="B534" t="inlineStr">
        <is>
          <t>QD251 .B4</t>
        </is>
      </c>
      <c r="C534" t="inlineStr">
        <is>
          <t>0                      QD 0251000B  4</t>
        </is>
      </c>
      <c r="D534" t="inlineStr">
        <is>
          <t>Handbuch der organischen Chemie.</t>
        </is>
      </c>
      <c r="E534" t="inlineStr">
        <is>
          <t>V.20</t>
        </is>
      </c>
      <c r="F534" t="inlineStr">
        <is>
          <t>Yes</t>
        </is>
      </c>
      <c r="G534" t="inlineStr">
        <is>
          <t>1</t>
        </is>
      </c>
      <c r="H534" t="inlineStr">
        <is>
          <t>No</t>
        </is>
      </c>
      <c r="I534" t="inlineStr">
        <is>
          <t>No</t>
        </is>
      </c>
      <c r="J534" t="inlineStr">
        <is>
          <t>0</t>
        </is>
      </c>
      <c r="K534" t="inlineStr">
        <is>
          <t>Beilstein, Friedrich Konrad, 1838-1906.</t>
        </is>
      </c>
      <c r="L534" t="inlineStr">
        <is>
          <t>Berlin, J.Springer, 1918-40.</t>
        </is>
      </c>
      <c r="M534" t="inlineStr">
        <is>
          <t>1918</t>
        </is>
      </c>
      <c r="N534" t="inlineStr">
        <is>
          <t>4. Aufl.</t>
        </is>
      </c>
      <c r="O534" t="inlineStr">
        <is>
          <t>ger</t>
        </is>
      </c>
      <c r="P534" t="inlineStr">
        <is>
          <t xml:space="preserve">xx </t>
        </is>
      </c>
      <c r="R534" t="inlineStr">
        <is>
          <t xml:space="preserve">QD </t>
        </is>
      </c>
      <c r="S534" t="n">
        <v>1</v>
      </c>
      <c r="T534" t="n">
        <v>33</v>
      </c>
      <c r="U534" t="inlineStr">
        <is>
          <t>1998-07-27</t>
        </is>
      </c>
      <c r="V534" t="inlineStr">
        <is>
          <t>1998-07-27</t>
        </is>
      </c>
      <c r="W534" t="inlineStr">
        <is>
          <t>1997-06-10</t>
        </is>
      </c>
      <c r="X534" t="inlineStr">
        <is>
          <t>1997-06-10</t>
        </is>
      </c>
      <c r="Y534" t="n">
        <v>128</v>
      </c>
      <c r="Z534" t="n">
        <v>112</v>
      </c>
      <c r="AA534" t="n">
        <v>133</v>
      </c>
      <c r="AB534" t="n">
        <v>2</v>
      </c>
      <c r="AC534" t="n">
        <v>3</v>
      </c>
      <c r="AD534" t="n">
        <v>3</v>
      </c>
      <c r="AE534" t="n">
        <v>5</v>
      </c>
      <c r="AF534" t="n">
        <v>1</v>
      </c>
      <c r="AG534" t="n">
        <v>1</v>
      </c>
      <c r="AH534" t="n">
        <v>1</v>
      </c>
      <c r="AI534" t="n">
        <v>2</v>
      </c>
      <c r="AJ534" t="n">
        <v>1</v>
      </c>
      <c r="AK534" t="n">
        <v>2</v>
      </c>
      <c r="AL534" t="n">
        <v>1</v>
      </c>
      <c r="AM534" t="n">
        <v>2</v>
      </c>
      <c r="AN534" t="n">
        <v>0</v>
      </c>
      <c r="AO534" t="n">
        <v>0</v>
      </c>
      <c r="AP534" t="inlineStr">
        <is>
          <t>Yes</t>
        </is>
      </c>
      <c r="AQ534" t="inlineStr">
        <is>
          <t>Yes</t>
        </is>
      </c>
      <c r="AR534">
        <f>HYPERLINK("http://catalog.hathitrust.org/Record/008863082","HathiTrust Record")</f>
        <v/>
      </c>
      <c r="AS534">
        <f>HYPERLINK("https://creighton-primo.hosted.exlibrisgroup.com/primo-explore/search?tab=default_tab&amp;search_scope=EVERYTHING&amp;vid=01CRU&amp;lang=en_US&amp;offset=0&amp;query=any,contains,991005355859702656","Catalog Record")</f>
        <v/>
      </c>
      <c r="AT534">
        <f>HYPERLINK("http://www.worldcat.org/oclc/558189","WorldCat Record")</f>
        <v/>
      </c>
      <c r="AU534" t="inlineStr">
        <is>
          <t>61486993:ger</t>
        </is>
      </c>
      <c r="AV534" t="inlineStr">
        <is>
          <t>558189</t>
        </is>
      </c>
      <c r="AW534" t="inlineStr">
        <is>
          <t>991005355859702656</t>
        </is>
      </c>
      <c r="AX534" t="inlineStr">
        <is>
          <t>991005355859702656</t>
        </is>
      </c>
      <c r="AY534" t="inlineStr">
        <is>
          <t>2258196550002656</t>
        </is>
      </c>
      <c r="AZ534" t="inlineStr">
        <is>
          <t>BOOK</t>
        </is>
      </c>
      <c r="BC534" t="inlineStr">
        <is>
          <t>32285002793098</t>
        </is>
      </c>
      <c r="BD534" t="inlineStr">
        <is>
          <t>893720230</t>
        </is>
      </c>
    </row>
    <row r="535">
      <c r="A535" t="inlineStr">
        <is>
          <t>No</t>
        </is>
      </c>
      <c r="B535" t="inlineStr">
        <is>
          <t>QD251 .B4</t>
        </is>
      </c>
      <c r="C535" t="inlineStr">
        <is>
          <t>0                      QD 0251000B  4</t>
        </is>
      </c>
      <c r="D535" t="inlineStr">
        <is>
          <t>Handbuch der organischen Chemie.</t>
        </is>
      </c>
      <c r="E535" t="inlineStr">
        <is>
          <t>V.24</t>
        </is>
      </c>
      <c r="F535" t="inlineStr">
        <is>
          <t>Yes</t>
        </is>
      </c>
      <c r="G535" t="inlineStr">
        <is>
          <t>1</t>
        </is>
      </c>
      <c r="H535" t="inlineStr">
        <is>
          <t>No</t>
        </is>
      </c>
      <c r="I535" t="inlineStr">
        <is>
          <t>No</t>
        </is>
      </c>
      <c r="J535" t="inlineStr">
        <is>
          <t>0</t>
        </is>
      </c>
      <c r="K535" t="inlineStr">
        <is>
          <t>Beilstein, Friedrich Konrad, 1838-1906.</t>
        </is>
      </c>
      <c r="L535" t="inlineStr">
        <is>
          <t>Berlin, J.Springer, 1918-40.</t>
        </is>
      </c>
      <c r="M535" t="inlineStr">
        <is>
          <t>1918</t>
        </is>
      </c>
      <c r="N535" t="inlineStr">
        <is>
          <t>4. Aufl.</t>
        </is>
      </c>
      <c r="O535" t="inlineStr">
        <is>
          <t>ger</t>
        </is>
      </c>
      <c r="P535" t="inlineStr">
        <is>
          <t xml:space="preserve">xx </t>
        </is>
      </c>
      <c r="R535" t="inlineStr">
        <is>
          <t xml:space="preserve">QD </t>
        </is>
      </c>
      <c r="S535" t="n">
        <v>1</v>
      </c>
      <c r="T535" t="n">
        <v>33</v>
      </c>
      <c r="U535" t="inlineStr">
        <is>
          <t>1998-07-27</t>
        </is>
      </c>
      <c r="V535" t="inlineStr">
        <is>
          <t>1998-07-27</t>
        </is>
      </c>
      <c r="W535" t="inlineStr">
        <is>
          <t>1997-06-10</t>
        </is>
      </c>
      <c r="X535" t="inlineStr">
        <is>
          <t>1997-06-10</t>
        </is>
      </c>
      <c r="Y535" t="n">
        <v>128</v>
      </c>
      <c r="Z535" t="n">
        <v>112</v>
      </c>
      <c r="AA535" t="n">
        <v>133</v>
      </c>
      <c r="AB535" t="n">
        <v>2</v>
      </c>
      <c r="AC535" t="n">
        <v>3</v>
      </c>
      <c r="AD535" t="n">
        <v>3</v>
      </c>
      <c r="AE535" t="n">
        <v>5</v>
      </c>
      <c r="AF535" t="n">
        <v>1</v>
      </c>
      <c r="AG535" t="n">
        <v>1</v>
      </c>
      <c r="AH535" t="n">
        <v>1</v>
      </c>
      <c r="AI535" t="n">
        <v>2</v>
      </c>
      <c r="AJ535" t="n">
        <v>1</v>
      </c>
      <c r="AK535" t="n">
        <v>2</v>
      </c>
      <c r="AL535" t="n">
        <v>1</v>
      </c>
      <c r="AM535" t="n">
        <v>2</v>
      </c>
      <c r="AN535" t="n">
        <v>0</v>
      </c>
      <c r="AO535" t="n">
        <v>0</v>
      </c>
      <c r="AP535" t="inlineStr">
        <is>
          <t>Yes</t>
        </is>
      </c>
      <c r="AQ535" t="inlineStr">
        <is>
          <t>Yes</t>
        </is>
      </c>
      <c r="AR535">
        <f>HYPERLINK("http://catalog.hathitrust.org/Record/008863082","HathiTrust Record")</f>
        <v/>
      </c>
      <c r="AS535">
        <f>HYPERLINK("https://creighton-primo.hosted.exlibrisgroup.com/primo-explore/search?tab=default_tab&amp;search_scope=EVERYTHING&amp;vid=01CRU&amp;lang=en_US&amp;offset=0&amp;query=any,contains,991005355859702656","Catalog Record")</f>
        <v/>
      </c>
      <c r="AT535">
        <f>HYPERLINK("http://www.worldcat.org/oclc/558189","WorldCat Record")</f>
        <v/>
      </c>
      <c r="AU535" t="inlineStr">
        <is>
          <t>61486993:ger</t>
        </is>
      </c>
      <c r="AV535" t="inlineStr">
        <is>
          <t>558189</t>
        </is>
      </c>
      <c r="AW535" t="inlineStr">
        <is>
          <t>991005355859702656</t>
        </is>
      </c>
      <c r="AX535" t="inlineStr">
        <is>
          <t>991005355859702656</t>
        </is>
      </c>
      <c r="AY535" t="inlineStr">
        <is>
          <t>2258196550002656</t>
        </is>
      </c>
      <c r="AZ535" t="inlineStr">
        <is>
          <t>BOOK</t>
        </is>
      </c>
      <c r="BC535" t="inlineStr">
        <is>
          <t>32285002793130</t>
        </is>
      </c>
      <c r="BD535" t="inlineStr">
        <is>
          <t>893720226</t>
        </is>
      </c>
    </row>
    <row r="536">
      <c r="A536" t="inlineStr">
        <is>
          <t>No</t>
        </is>
      </c>
      <c r="B536" t="inlineStr">
        <is>
          <t>QD251 .B4</t>
        </is>
      </c>
      <c r="C536" t="inlineStr">
        <is>
          <t>0                      QD 0251000B  4</t>
        </is>
      </c>
      <c r="D536" t="inlineStr">
        <is>
          <t>Handbuch der organischen Chemie.</t>
        </is>
      </c>
      <c r="E536" t="inlineStr">
        <is>
          <t>V.6</t>
        </is>
      </c>
      <c r="F536" t="inlineStr">
        <is>
          <t>Yes</t>
        </is>
      </c>
      <c r="G536" t="inlineStr">
        <is>
          <t>1</t>
        </is>
      </c>
      <c r="H536" t="inlineStr">
        <is>
          <t>No</t>
        </is>
      </c>
      <c r="I536" t="inlineStr">
        <is>
          <t>No</t>
        </is>
      </c>
      <c r="J536" t="inlineStr">
        <is>
          <t>0</t>
        </is>
      </c>
      <c r="K536" t="inlineStr">
        <is>
          <t>Beilstein, Friedrich Konrad, 1838-1906.</t>
        </is>
      </c>
      <c r="L536" t="inlineStr">
        <is>
          <t>Berlin, J.Springer, 1918-40.</t>
        </is>
      </c>
      <c r="M536" t="inlineStr">
        <is>
          <t>1918</t>
        </is>
      </c>
      <c r="N536" t="inlineStr">
        <is>
          <t>4. Aufl.</t>
        </is>
      </c>
      <c r="O536" t="inlineStr">
        <is>
          <t>ger</t>
        </is>
      </c>
      <c r="P536" t="inlineStr">
        <is>
          <t xml:space="preserve">xx </t>
        </is>
      </c>
      <c r="R536" t="inlineStr">
        <is>
          <t xml:space="preserve">QD </t>
        </is>
      </c>
      <c r="S536" t="n">
        <v>1</v>
      </c>
      <c r="T536" t="n">
        <v>33</v>
      </c>
      <c r="U536" t="inlineStr">
        <is>
          <t>1998-07-27</t>
        </is>
      </c>
      <c r="V536" t="inlineStr">
        <is>
          <t>1998-07-27</t>
        </is>
      </c>
      <c r="W536" t="inlineStr">
        <is>
          <t>1997-06-10</t>
        </is>
      </c>
      <c r="X536" t="inlineStr">
        <is>
          <t>1997-06-10</t>
        </is>
      </c>
      <c r="Y536" t="n">
        <v>128</v>
      </c>
      <c r="Z536" t="n">
        <v>112</v>
      </c>
      <c r="AA536" t="n">
        <v>133</v>
      </c>
      <c r="AB536" t="n">
        <v>2</v>
      </c>
      <c r="AC536" t="n">
        <v>3</v>
      </c>
      <c r="AD536" t="n">
        <v>3</v>
      </c>
      <c r="AE536" t="n">
        <v>5</v>
      </c>
      <c r="AF536" t="n">
        <v>1</v>
      </c>
      <c r="AG536" t="n">
        <v>1</v>
      </c>
      <c r="AH536" t="n">
        <v>1</v>
      </c>
      <c r="AI536" t="n">
        <v>2</v>
      </c>
      <c r="AJ536" t="n">
        <v>1</v>
      </c>
      <c r="AK536" t="n">
        <v>2</v>
      </c>
      <c r="AL536" t="n">
        <v>1</v>
      </c>
      <c r="AM536" t="n">
        <v>2</v>
      </c>
      <c r="AN536" t="n">
        <v>0</v>
      </c>
      <c r="AO536" t="n">
        <v>0</v>
      </c>
      <c r="AP536" t="inlineStr">
        <is>
          <t>Yes</t>
        </is>
      </c>
      <c r="AQ536" t="inlineStr">
        <is>
          <t>Yes</t>
        </is>
      </c>
      <c r="AR536">
        <f>HYPERLINK("http://catalog.hathitrust.org/Record/008863082","HathiTrust Record")</f>
        <v/>
      </c>
      <c r="AS536">
        <f>HYPERLINK("https://creighton-primo.hosted.exlibrisgroup.com/primo-explore/search?tab=default_tab&amp;search_scope=EVERYTHING&amp;vid=01CRU&amp;lang=en_US&amp;offset=0&amp;query=any,contains,991005355859702656","Catalog Record")</f>
        <v/>
      </c>
      <c r="AT536">
        <f>HYPERLINK("http://www.worldcat.org/oclc/558189","WorldCat Record")</f>
        <v/>
      </c>
      <c r="AU536" t="inlineStr">
        <is>
          <t>61486993:ger</t>
        </is>
      </c>
      <c r="AV536" t="inlineStr">
        <is>
          <t>558189</t>
        </is>
      </c>
      <c r="AW536" t="inlineStr">
        <is>
          <t>991005355859702656</t>
        </is>
      </c>
      <c r="AX536" t="inlineStr">
        <is>
          <t>991005355859702656</t>
        </is>
      </c>
      <c r="AY536" t="inlineStr">
        <is>
          <t>2258196550002656</t>
        </is>
      </c>
      <c r="AZ536" t="inlineStr">
        <is>
          <t>BOOK</t>
        </is>
      </c>
      <c r="BC536" t="inlineStr">
        <is>
          <t>32285002792959</t>
        </is>
      </c>
      <c r="BD536" t="inlineStr">
        <is>
          <t>893707702</t>
        </is>
      </c>
    </row>
    <row r="537">
      <c r="A537" t="inlineStr">
        <is>
          <t>No</t>
        </is>
      </c>
      <c r="B537" t="inlineStr">
        <is>
          <t>QD251 .B4</t>
        </is>
      </c>
      <c r="C537" t="inlineStr">
        <is>
          <t>0                      QD 0251000B  4</t>
        </is>
      </c>
      <c r="D537" t="inlineStr">
        <is>
          <t>Handbuch der organischen Chemie.</t>
        </is>
      </c>
      <c r="E537" t="inlineStr">
        <is>
          <t>V.18</t>
        </is>
      </c>
      <c r="F537" t="inlineStr">
        <is>
          <t>Yes</t>
        </is>
      </c>
      <c r="G537" t="inlineStr">
        <is>
          <t>1</t>
        </is>
      </c>
      <c r="H537" t="inlineStr">
        <is>
          <t>No</t>
        </is>
      </c>
      <c r="I537" t="inlineStr">
        <is>
          <t>No</t>
        </is>
      </c>
      <c r="J537" t="inlineStr">
        <is>
          <t>0</t>
        </is>
      </c>
      <c r="K537" t="inlineStr">
        <is>
          <t>Beilstein, Friedrich Konrad, 1838-1906.</t>
        </is>
      </c>
      <c r="L537" t="inlineStr">
        <is>
          <t>Berlin, J.Springer, 1918-40.</t>
        </is>
      </c>
      <c r="M537" t="inlineStr">
        <is>
          <t>1918</t>
        </is>
      </c>
      <c r="N537" t="inlineStr">
        <is>
          <t>4. Aufl.</t>
        </is>
      </c>
      <c r="O537" t="inlineStr">
        <is>
          <t>ger</t>
        </is>
      </c>
      <c r="P537" t="inlineStr">
        <is>
          <t xml:space="preserve">xx </t>
        </is>
      </c>
      <c r="R537" t="inlineStr">
        <is>
          <t xml:space="preserve">QD </t>
        </is>
      </c>
      <c r="S537" t="n">
        <v>1</v>
      </c>
      <c r="T537" t="n">
        <v>33</v>
      </c>
      <c r="U537" t="inlineStr">
        <is>
          <t>1998-07-27</t>
        </is>
      </c>
      <c r="V537" t="inlineStr">
        <is>
          <t>1998-07-27</t>
        </is>
      </c>
      <c r="W537" t="inlineStr">
        <is>
          <t>1997-06-10</t>
        </is>
      </c>
      <c r="X537" t="inlineStr">
        <is>
          <t>1997-06-10</t>
        </is>
      </c>
      <c r="Y537" t="n">
        <v>128</v>
      </c>
      <c r="Z537" t="n">
        <v>112</v>
      </c>
      <c r="AA537" t="n">
        <v>133</v>
      </c>
      <c r="AB537" t="n">
        <v>2</v>
      </c>
      <c r="AC537" t="n">
        <v>3</v>
      </c>
      <c r="AD537" t="n">
        <v>3</v>
      </c>
      <c r="AE537" t="n">
        <v>5</v>
      </c>
      <c r="AF537" t="n">
        <v>1</v>
      </c>
      <c r="AG537" t="n">
        <v>1</v>
      </c>
      <c r="AH537" t="n">
        <v>1</v>
      </c>
      <c r="AI537" t="n">
        <v>2</v>
      </c>
      <c r="AJ537" t="n">
        <v>1</v>
      </c>
      <c r="AK537" t="n">
        <v>2</v>
      </c>
      <c r="AL537" t="n">
        <v>1</v>
      </c>
      <c r="AM537" t="n">
        <v>2</v>
      </c>
      <c r="AN537" t="n">
        <v>0</v>
      </c>
      <c r="AO537" t="n">
        <v>0</v>
      </c>
      <c r="AP537" t="inlineStr">
        <is>
          <t>Yes</t>
        </is>
      </c>
      <c r="AQ537" t="inlineStr">
        <is>
          <t>Yes</t>
        </is>
      </c>
      <c r="AR537">
        <f>HYPERLINK("http://catalog.hathitrust.org/Record/008863082","HathiTrust Record")</f>
        <v/>
      </c>
      <c r="AS537">
        <f>HYPERLINK("https://creighton-primo.hosted.exlibrisgroup.com/primo-explore/search?tab=default_tab&amp;search_scope=EVERYTHING&amp;vid=01CRU&amp;lang=en_US&amp;offset=0&amp;query=any,contains,991005355859702656","Catalog Record")</f>
        <v/>
      </c>
      <c r="AT537">
        <f>HYPERLINK("http://www.worldcat.org/oclc/558189","WorldCat Record")</f>
        <v/>
      </c>
      <c r="AU537" t="inlineStr">
        <is>
          <t>61486993:ger</t>
        </is>
      </c>
      <c r="AV537" t="inlineStr">
        <is>
          <t>558189</t>
        </is>
      </c>
      <c r="AW537" t="inlineStr">
        <is>
          <t>991005355859702656</t>
        </is>
      </c>
      <c r="AX537" t="inlineStr">
        <is>
          <t>991005355859702656</t>
        </is>
      </c>
      <c r="AY537" t="inlineStr">
        <is>
          <t>2258196550002656</t>
        </is>
      </c>
      <c r="AZ537" t="inlineStr">
        <is>
          <t>BOOK</t>
        </is>
      </c>
      <c r="BC537" t="inlineStr">
        <is>
          <t>32285002793072</t>
        </is>
      </c>
      <c r="BD537" t="inlineStr">
        <is>
          <t>893707706</t>
        </is>
      </c>
    </row>
    <row r="538">
      <c r="A538" t="inlineStr">
        <is>
          <t>No</t>
        </is>
      </c>
      <c r="B538" t="inlineStr">
        <is>
          <t>QD251 .B4</t>
        </is>
      </c>
      <c r="C538" t="inlineStr">
        <is>
          <t>0                      QD 0251000B  4</t>
        </is>
      </c>
      <c r="D538" t="inlineStr">
        <is>
          <t>Handbuch der organischen Chemie.</t>
        </is>
      </c>
      <c r="E538" t="inlineStr">
        <is>
          <t>V.3</t>
        </is>
      </c>
      <c r="F538" t="inlineStr">
        <is>
          <t>Yes</t>
        </is>
      </c>
      <c r="G538" t="inlineStr">
        <is>
          <t>1</t>
        </is>
      </c>
      <c r="H538" t="inlineStr">
        <is>
          <t>No</t>
        </is>
      </c>
      <c r="I538" t="inlineStr">
        <is>
          <t>No</t>
        </is>
      </c>
      <c r="J538" t="inlineStr">
        <is>
          <t>0</t>
        </is>
      </c>
      <c r="K538" t="inlineStr">
        <is>
          <t>Beilstein, Friedrich Konrad, 1838-1906.</t>
        </is>
      </c>
      <c r="L538" t="inlineStr">
        <is>
          <t>Berlin, J.Springer, 1918-40.</t>
        </is>
      </c>
      <c r="M538" t="inlineStr">
        <is>
          <t>1918</t>
        </is>
      </c>
      <c r="N538" t="inlineStr">
        <is>
          <t>4. Aufl.</t>
        </is>
      </c>
      <c r="O538" t="inlineStr">
        <is>
          <t>ger</t>
        </is>
      </c>
      <c r="P538" t="inlineStr">
        <is>
          <t xml:space="preserve">xx </t>
        </is>
      </c>
      <c r="R538" t="inlineStr">
        <is>
          <t xml:space="preserve">QD </t>
        </is>
      </c>
      <c r="S538" t="n">
        <v>1</v>
      </c>
      <c r="T538" t="n">
        <v>33</v>
      </c>
      <c r="U538" t="inlineStr">
        <is>
          <t>1998-07-27</t>
        </is>
      </c>
      <c r="V538" t="inlineStr">
        <is>
          <t>1998-07-27</t>
        </is>
      </c>
      <c r="W538" t="inlineStr">
        <is>
          <t>1997-06-10</t>
        </is>
      </c>
      <c r="X538" t="inlineStr">
        <is>
          <t>1997-06-10</t>
        </is>
      </c>
      <c r="Y538" t="n">
        <v>128</v>
      </c>
      <c r="Z538" t="n">
        <v>112</v>
      </c>
      <c r="AA538" t="n">
        <v>133</v>
      </c>
      <c r="AB538" t="n">
        <v>2</v>
      </c>
      <c r="AC538" t="n">
        <v>3</v>
      </c>
      <c r="AD538" t="n">
        <v>3</v>
      </c>
      <c r="AE538" t="n">
        <v>5</v>
      </c>
      <c r="AF538" t="n">
        <v>1</v>
      </c>
      <c r="AG538" t="n">
        <v>1</v>
      </c>
      <c r="AH538" t="n">
        <v>1</v>
      </c>
      <c r="AI538" t="n">
        <v>2</v>
      </c>
      <c r="AJ538" t="n">
        <v>1</v>
      </c>
      <c r="AK538" t="n">
        <v>2</v>
      </c>
      <c r="AL538" t="n">
        <v>1</v>
      </c>
      <c r="AM538" t="n">
        <v>2</v>
      </c>
      <c r="AN538" t="n">
        <v>0</v>
      </c>
      <c r="AO538" t="n">
        <v>0</v>
      </c>
      <c r="AP538" t="inlineStr">
        <is>
          <t>Yes</t>
        </is>
      </c>
      <c r="AQ538" t="inlineStr">
        <is>
          <t>Yes</t>
        </is>
      </c>
      <c r="AR538">
        <f>HYPERLINK("http://catalog.hathitrust.org/Record/008863082","HathiTrust Record")</f>
        <v/>
      </c>
      <c r="AS538">
        <f>HYPERLINK("https://creighton-primo.hosted.exlibrisgroup.com/primo-explore/search?tab=default_tab&amp;search_scope=EVERYTHING&amp;vid=01CRU&amp;lang=en_US&amp;offset=0&amp;query=any,contains,991005355859702656","Catalog Record")</f>
        <v/>
      </c>
      <c r="AT538">
        <f>HYPERLINK("http://www.worldcat.org/oclc/558189","WorldCat Record")</f>
        <v/>
      </c>
      <c r="AU538" t="inlineStr">
        <is>
          <t>61486993:ger</t>
        </is>
      </c>
      <c r="AV538" t="inlineStr">
        <is>
          <t>558189</t>
        </is>
      </c>
      <c r="AW538" t="inlineStr">
        <is>
          <t>991005355859702656</t>
        </is>
      </c>
      <c r="AX538" t="inlineStr">
        <is>
          <t>991005355859702656</t>
        </is>
      </c>
      <c r="AY538" t="inlineStr">
        <is>
          <t>2258196550002656</t>
        </is>
      </c>
      <c r="AZ538" t="inlineStr">
        <is>
          <t>BOOK</t>
        </is>
      </c>
      <c r="BC538" t="inlineStr">
        <is>
          <t>32285002792926</t>
        </is>
      </c>
      <c r="BD538" t="inlineStr">
        <is>
          <t>893695179</t>
        </is>
      </c>
    </row>
    <row r="539">
      <c r="A539" t="inlineStr">
        <is>
          <t>No</t>
        </is>
      </c>
      <c r="B539" t="inlineStr">
        <is>
          <t>QD251 .B4</t>
        </is>
      </c>
      <c r="C539" t="inlineStr">
        <is>
          <t>0                      QD 0251000B  4</t>
        </is>
      </c>
      <c r="D539" t="inlineStr">
        <is>
          <t>Handbuch der organischen Chemie.</t>
        </is>
      </c>
      <c r="E539" t="inlineStr">
        <is>
          <t>V.13</t>
        </is>
      </c>
      <c r="F539" t="inlineStr">
        <is>
          <t>Yes</t>
        </is>
      </c>
      <c r="G539" t="inlineStr">
        <is>
          <t>1</t>
        </is>
      </c>
      <c r="H539" t="inlineStr">
        <is>
          <t>No</t>
        </is>
      </c>
      <c r="I539" t="inlineStr">
        <is>
          <t>No</t>
        </is>
      </c>
      <c r="J539" t="inlineStr">
        <is>
          <t>0</t>
        </is>
      </c>
      <c r="K539" t="inlineStr">
        <is>
          <t>Beilstein, Friedrich Konrad, 1838-1906.</t>
        </is>
      </c>
      <c r="L539" t="inlineStr">
        <is>
          <t>Berlin, J.Springer, 1918-40.</t>
        </is>
      </c>
      <c r="M539" t="inlineStr">
        <is>
          <t>1918</t>
        </is>
      </c>
      <c r="N539" t="inlineStr">
        <is>
          <t>4. Aufl.</t>
        </is>
      </c>
      <c r="O539" t="inlineStr">
        <is>
          <t>ger</t>
        </is>
      </c>
      <c r="P539" t="inlineStr">
        <is>
          <t xml:space="preserve">xx </t>
        </is>
      </c>
      <c r="R539" t="inlineStr">
        <is>
          <t xml:space="preserve">QD </t>
        </is>
      </c>
      <c r="S539" t="n">
        <v>1</v>
      </c>
      <c r="T539" t="n">
        <v>33</v>
      </c>
      <c r="U539" t="inlineStr">
        <is>
          <t>1998-07-27</t>
        </is>
      </c>
      <c r="V539" t="inlineStr">
        <is>
          <t>1998-07-27</t>
        </is>
      </c>
      <c r="W539" t="inlineStr">
        <is>
          <t>1997-06-10</t>
        </is>
      </c>
      <c r="X539" t="inlineStr">
        <is>
          <t>1997-06-10</t>
        </is>
      </c>
      <c r="Y539" t="n">
        <v>128</v>
      </c>
      <c r="Z539" t="n">
        <v>112</v>
      </c>
      <c r="AA539" t="n">
        <v>133</v>
      </c>
      <c r="AB539" t="n">
        <v>2</v>
      </c>
      <c r="AC539" t="n">
        <v>3</v>
      </c>
      <c r="AD539" t="n">
        <v>3</v>
      </c>
      <c r="AE539" t="n">
        <v>5</v>
      </c>
      <c r="AF539" t="n">
        <v>1</v>
      </c>
      <c r="AG539" t="n">
        <v>1</v>
      </c>
      <c r="AH539" t="n">
        <v>1</v>
      </c>
      <c r="AI539" t="n">
        <v>2</v>
      </c>
      <c r="AJ539" t="n">
        <v>1</v>
      </c>
      <c r="AK539" t="n">
        <v>2</v>
      </c>
      <c r="AL539" t="n">
        <v>1</v>
      </c>
      <c r="AM539" t="n">
        <v>2</v>
      </c>
      <c r="AN539" t="n">
        <v>0</v>
      </c>
      <c r="AO539" t="n">
        <v>0</v>
      </c>
      <c r="AP539" t="inlineStr">
        <is>
          <t>Yes</t>
        </is>
      </c>
      <c r="AQ539" t="inlineStr">
        <is>
          <t>Yes</t>
        </is>
      </c>
      <c r="AR539">
        <f>HYPERLINK("http://catalog.hathitrust.org/Record/008863082","HathiTrust Record")</f>
        <v/>
      </c>
      <c r="AS539">
        <f>HYPERLINK("https://creighton-primo.hosted.exlibrisgroup.com/primo-explore/search?tab=default_tab&amp;search_scope=EVERYTHING&amp;vid=01CRU&amp;lang=en_US&amp;offset=0&amp;query=any,contains,991005355859702656","Catalog Record")</f>
        <v/>
      </c>
      <c r="AT539">
        <f>HYPERLINK("http://www.worldcat.org/oclc/558189","WorldCat Record")</f>
        <v/>
      </c>
      <c r="AU539" t="inlineStr">
        <is>
          <t>61486993:ger</t>
        </is>
      </c>
      <c r="AV539" t="inlineStr">
        <is>
          <t>558189</t>
        </is>
      </c>
      <c r="AW539" t="inlineStr">
        <is>
          <t>991005355859702656</t>
        </is>
      </c>
      <c r="AX539" t="inlineStr">
        <is>
          <t>991005355859702656</t>
        </is>
      </c>
      <c r="AY539" t="inlineStr">
        <is>
          <t>2258196550002656</t>
        </is>
      </c>
      <c r="AZ539" t="inlineStr">
        <is>
          <t>BOOK</t>
        </is>
      </c>
      <c r="BC539" t="inlineStr">
        <is>
          <t>32285002793023</t>
        </is>
      </c>
      <c r="BD539" t="inlineStr">
        <is>
          <t>893720227</t>
        </is>
      </c>
    </row>
    <row r="540">
      <c r="A540" t="inlineStr">
        <is>
          <t>No</t>
        </is>
      </c>
      <c r="B540" t="inlineStr">
        <is>
          <t>QD251 .B4</t>
        </is>
      </c>
      <c r="C540" t="inlineStr">
        <is>
          <t>0                      QD 0251000B  4</t>
        </is>
      </c>
      <c r="D540" t="inlineStr">
        <is>
          <t>Handbuch der organischen Chemie.</t>
        </is>
      </c>
      <c r="E540" t="inlineStr">
        <is>
          <t>V.10</t>
        </is>
      </c>
      <c r="F540" t="inlineStr">
        <is>
          <t>Yes</t>
        </is>
      </c>
      <c r="G540" t="inlineStr">
        <is>
          <t>1</t>
        </is>
      </c>
      <c r="H540" t="inlineStr">
        <is>
          <t>No</t>
        </is>
      </c>
      <c r="I540" t="inlineStr">
        <is>
          <t>No</t>
        </is>
      </c>
      <c r="J540" t="inlineStr">
        <is>
          <t>0</t>
        </is>
      </c>
      <c r="K540" t="inlineStr">
        <is>
          <t>Beilstein, Friedrich Konrad, 1838-1906.</t>
        </is>
      </c>
      <c r="L540" t="inlineStr">
        <is>
          <t>Berlin, J.Springer, 1918-40.</t>
        </is>
      </c>
      <c r="M540" t="inlineStr">
        <is>
          <t>1918</t>
        </is>
      </c>
      <c r="N540" t="inlineStr">
        <is>
          <t>4. Aufl.</t>
        </is>
      </c>
      <c r="O540" t="inlineStr">
        <is>
          <t>ger</t>
        </is>
      </c>
      <c r="P540" t="inlineStr">
        <is>
          <t xml:space="preserve">xx </t>
        </is>
      </c>
      <c r="R540" t="inlineStr">
        <is>
          <t xml:space="preserve">QD </t>
        </is>
      </c>
      <c r="S540" t="n">
        <v>1</v>
      </c>
      <c r="T540" t="n">
        <v>33</v>
      </c>
      <c r="U540" t="inlineStr">
        <is>
          <t>1998-07-27</t>
        </is>
      </c>
      <c r="V540" t="inlineStr">
        <is>
          <t>1998-07-27</t>
        </is>
      </c>
      <c r="W540" t="inlineStr">
        <is>
          <t>1997-06-10</t>
        </is>
      </c>
      <c r="X540" t="inlineStr">
        <is>
          <t>1997-06-10</t>
        </is>
      </c>
      <c r="Y540" t="n">
        <v>128</v>
      </c>
      <c r="Z540" t="n">
        <v>112</v>
      </c>
      <c r="AA540" t="n">
        <v>133</v>
      </c>
      <c r="AB540" t="n">
        <v>2</v>
      </c>
      <c r="AC540" t="n">
        <v>3</v>
      </c>
      <c r="AD540" t="n">
        <v>3</v>
      </c>
      <c r="AE540" t="n">
        <v>5</v>
      </c>
      <c r="AF540" t="n">
        <v>1</v>
      </c>
      <c r="AG540" t="n">
        <v>1</v>
      </c>
      <c r="AH540" t="n">
        <v>1</v>
      </c>
      <c r="AI540" t="n">
        <v>2</v>
      </c>
      <c r="AJ540" t="n">
        <v>1</v>
      </c>
      <c r="AK540" t="n">
        <v>2</v>
      </c>
      <c r="AL540" t="n">
        <v>1</v>
      </c>
      <c r="AM540" t="n">
        <v>2</v>
      </c>
      <c r="AN540" t="n">
        <v>0</v>
      </c>
      <c r="AO540" t="n">
        <v>0</v>
      </c>
      <c r="AP540" t="inlineStr">
        <is>
          <t>Yes</t>
        </is>
      </c>
      <c r="AQ540" t="inlineStr">
        <is>
          <t>Yes</t>
        </is>
      </c>
      <c r="AR540">
        <f>HYPERLINK("http://catalog.hathitrust.org/Record/008863082","HathiTrust Record")</f>
        <v/>
      </c>
      <c r="AS540">
        <f>HYPERLINK("https://creighton-primo.hosted.exlibrisgroup.com/primo-explore/search?tab=default_tab&amp;search_scope=EVERYTHING&amp;vid=01CRU&amp;lang=en_US&amp;offset=0&amp;query=any,contains,991005355859702656","Catalog Record")</f>
        <v/>
      </c>
      <c r="AT540">
        <f>HYPERLINK("http://www.worldcat.org/oclc/558189","WorldCat Record")</f>
        <v/>
      </c>
      <c r="AU540" t="inlineStr">
        <is>
          <t>61486993:ger</t>
        </is>
      </c>
      <c r="AV540" t="inlineStr">
        <is>
          <t>558189</t>
        </is>
      </c>
      <c r="AW540" t="inlineStr">
        <is>
          <t>991005355859702656</t>
        </is>
      </c>
      <c r="AX540" t="inlineStr">
        <is>
          <t>991005355859702656</t>
        </is>
      </c>
      <c r="AY540" t="inlineStr">
        <is>
          <t>2258196550002656</t>
        </is>
      </c>
      <c r="AZ540" t="inlineStr">
        <is>
          <t>BOOK</t>
        </is>
      </c>
      <c r="BC540" t="inlineStr">
        <is>
          <t>32285002792991</t>
        </is>
      </c>
      <c r="BD540" t="inlineStr">
        <is>
          <t>893707708</t>
        </is>
      </c>
    </row>
    <row r="541">
      <c r="A541" t="inlineStr">
        <is>
          <t>No</t>
        </is>
      </c>
      <c r="B541" t="inlineStr">
        <is>
          <t>QD251 .B4</t>
        </is>
      </c>
      <c r="C541" t="inlineStr">
        <is>
          <t>0                      QD 0251000B  4</t>
        </is>
      </c>
      <c r="D541" t="inlineStr">
        <is>
          <t>Handbuch der organischen Chemie.</t>
        </is>
      </c>
      <c r="E541" t="inlineStr">
        <is>
          <t>V.5</t>
        </is>
      </c>
      <c r="F541" t="inlineStr">
        <is>
          <t>Yes</t>
        </is>
      </c>
      <c r="G541" t="inlineStr">
        <is>
          <t>1</t>
        </is>
      </c>
      <c r="H541" t="inlineStr">
        <is>
          <t>No</t>
        </is>
      </c>
      <c r="I541" t="inlineStr">
        <is>
          <t>No</t>
        </is>
      </c>
      <c r="J541" t="inlineStr">
        <is>
          <t>0</t>
        </is>
      </c>
      <c r="K541" t="inlineStr">
        <is>
          <t>Beilstein, Friedrich Konrad, 1838-1906.</t>
        </is>
      </c>
      <c r="L541" t="inlineStr">
        <is>
          <t>Berlin, J.Springer, 1918-40.</t>
        </is>
      </c>
      <c r="M541" t="inlineStr">
        <is>
          <t>1918</t>
        </is>
      </c>
      <c r="N541" t="inlineStr">
        <is>
          <t>4. Aufl.</t>
        </is>
      </c>
      <c r="O541" t="inlineStr">
        <is>
          <t>ger</t>
        </is>
      </c>
      <c r="P541" t="inlineStr">
        <is>
          <t xml:space="preserve">xx </t>
        </is>
      </c>
      <c r="R541" t="inlineStr">
        <is>
          <t xml:space="preserve">QD </t>
        </is>
      </c>
      <c r="S541" t="n">
        <v>1</v>
      </c>
      <c r="T541" t="n">
        <v>33</v>
      </c>
      <c r="U541" t="inlineStr">
        <is>
          <t>1998-07-27</t>
        </is>
      </c>
      <c r="V541" t="inlineStr">
        <is>
          <t>1998-07-27</t>
        </is>
      </c>
      <c r="W541" t="inlineStr">
        <is>
          <t>1997-06-10</t>
        </is>
      </c>
      <c r="X541" t="inlineStr">
        <is>
          <t>1997-06-10</t>
        </is>
      </c>
      <c r="Y541" t="n">
        <v>128</v>
      </c>
      <c r="Z541" t="n">
        <v>112</v>
      </c>
      <c r="AA541" t="n">
        <v>133</v>
      </c>
      <c r="AB541" t="n">
        <v>2</v>
      </c>
      <c r="AC541" t="n">
        <v>3</v>
      </c>
      <c r="AD541" t="n">
        <v>3</v>
      </c>
      <c r="AE541" t="n">
        <v>5</v>
      </c>
      <c r="AF541" t="n">
        <v>1</v>
      </c>
      <c r="AG541" t="n">
        <v>1</v>
      </c>
      <c r="AH541" t="n">
        <v>1</v>
      </c>
      <c r="AI541" t="n">
        <v>2</v>
      </c>
      <c r="AJ541" t="n">
        <v>1</v>
      </c>
      <c r="AK541" t="n">
        <v>2</v>
      </c>
      <c r="AL541" t="n">
        <v>1</v>
      </c>
      <c r="AM541" t="n">
        <v>2</v>
      </c>
      <c r="AN541" t="n">
        <v>0</v>
      </c>
      <c r="AO541" t="n">
        <v>0</v>
      </c>
      <c r="AP541" t="inlineStr">
        <is>
          <t>Yes</t>
        </is>
      </c>
      <c r="AQ541" t="inlineStr">
        <is>
          <t>Yes</t>
        </is>
      </c>
      <c r="AR541">
        <f>HYPERLINK("http://catalog.hathitrust.org/Record/008863082","HathiTrust Record")</f>
        <v/>
      </c>
      <c r="AS541">
        <f>HYPERLINK("https://creighton-primo.hosted.exlibrisgroup.com/primo-explore/search?tab=default_tab&amp;search_scope=EVERYTHING&amp;vid=01CRU&amp;lang=en_US&amp;offset=0&amp;query=any,contains,991005355859702656","Catalog Record")</f>
        <v/>
      </c>
      <c r="AT541">
        <f>HYPERLINK("http://www.worldcat.org/oclc/558189","WorldCat Record")</f>
        <v/>
      </c>
      <c r="AU541" t="inlineStr">
        <is>
          <t>61486993:ger</t>
        </is>
      </c>
      <c r="AV541" t="inlineStr">
        <is>
          <t>558189</t>
        </is>
      </c>
      <c r="AW541" t="inlineStr">
        <is>
          <t>991005355859702656</t>
        </is>
      </c>
      <c r="AX541" t="inlineStr">
        <is>
          <t>991005355859702656</t>
        </is>
      </c>
      <c r="AY541" t="inlineStr">
        <is>
          <t>2258196550002656</t>
        </is>
      </c>
      <c r="AZ541" t="inlineStr">
        <is>
          <t>BOOK</t>
        </is>
      </c>
      <c r="BC541" t="inlineStr">
        <is>
          <t>32285002792942</t>
        </is>
      </c>
      <c r="BD541" t="inlineStr">
        <is>
          <t>893701435</t>
        </is>
      </c>
    </row>
    <row r="542">
      <c r="A542" t="inlineStr">
        <is>
          <t>No</t>
        </is>
      </c>
      <c r="B542" t="inlineStr">
        <is>
          <t>QD251 .B4</t>
        </is>
      </c>
      <c r="C542" t="inlineStr">
        <is>
          <t>0                      QD 0251000B  4</t>
        </is>
      </c>
      <c r="D542" t="inlineStr">
        <is>
          <t>Handbuch der organischen Chemie.</t>
        </is>
      </c>
      <c r="E542" t="inlineStr">
        <is>
          <t>V.19</t>
        </is>
      </c>
      <c r="F542" t="inlineStr">
        <is>
          <t>Yes</t>
        </is>
      </c>
      <c r="G542" t="inlineStr">
        <is>
          <t>1</t>
        </is>
      </c>
      <c r="H542" t="inlineStr">
        <is>
          <t>No</t>
        </is>
      </c>
      <c r="I542" t="inlineStr">
        <is>
          <t>No</t>
        </is>
      </c>
      <c r="J542" t="inlineStr">
        <is>
          <t>0</t>
        </is>
      </c>
      <c r="K542" t="inlineStr">
        <is>
          <t>Beilstein, Friedrich Konrad, 1838-1906.</t>
        </is>
      </c>
      <c r="L542" t="inlineStr">
        <is>
          <t>Berlin, J.Springer, 1918-40.</t>
        </is>
      </c>
      <c r="M542" t="inlineStr">
        <is>
          <t>1918</t>
        </is>
      </c>
      <c r="N542" t="inlineStr">
        <is>
          <t>4. Aufl.</t>
        </is>
      </c>
      <c r="O542" t="inlineStr">
        <is>
          <t>ger</t>
        </is>
      </c>
      <c r="P542" t="inlineStr">
        <is>
          <t xml:space="preserve">xx </t>
        </is>
      </c>
      <c r="R542" t="inlineStr">
        <is>
          <t xml:space="preserve">QD </t>
        </is>
      </c>
      <c r="S542" t="n">
        <v>1</v>
      </c>
      <c r="T542" t="n">
        <v>33</v>
      </c>
      <c r="U542" t="inlineStr">
        <is>
          <t>1998-07-27</t>
        </is>
      </c>
      <c r="V542" t="inlineStr">
        <is>
          <t>1998-07-27</t>
        </is>
      </c>
      <c r="W542" t="inlineStr">
        <is>
          <t>1997-06-10</t>
        </is>
      </c>
      <c r="X542" t="inlineStr">
        <is>
          <t>1997-06-10</t>
        </is>
      </c>
      <c r="Y542" t="n">
        <v>128</v>
      </c>
      <c r="Z542" t="n">
        <v>112</v>
      </c>
      <c r="AA542" t="n">
        <v>133</v>
      </c>
      <c r="AB542" t="n">
        <v>2</v>
      </c>
      <c r="AC542" t="n">
        <v>3</v>
      </c>
      <c r="AD542" t="n">
        <v>3</v>
      </c>
      <c r="AE542" t="n">
        <v>5</v>
      </c>
      <c r="AF542" t="n">
        <v>1</v>
      </c>
      <c r="AG542" t="n">
        <v>1</v>
      </c>
      <c r="AH542" t="n">
        <v>1</v>
      </c>
      <c r="AI542" t="n">
        <v>2</v>
      </c>
      <c r="AJ542" t="n">
        <v>1</v>
      </c>
      <c r="AK542" t="n">
        <v>2</v>
      </c>
      <c r="AL542" t="n">
        <v>1</v>
      </c>
      <c r="AM542" t="n">
        <v>2</v>
      </c>
      <c r="AN542" t="n">
        <v>0</v>
      </c>
      <c r="AO542" t="n">
        <v>0</v>
      </c>
      <c r="AP542" t="inlineStr">
        <is>
          <t>Yes</t>
        </is>
      </c>
      <c r="AQ542" t="inlineStr">
        <is>
          <t>Yes</t>
        </is>
      </c>
      <c r="AR542">
        <f>HYPERLINK("http://catalog.hathitrust.org/Record/008863082","HathiTrust Record")</f>
        <v/>
      </c>
      <c r="AS542">
        <f>HYPERLINK("https://creighton-primo.hosted.exlibrisgroup.com/primo-explore/search?tab=default_tab&amp;search_scope=EVERYTHING&amp;vid=01CRU&amp;lang=en_US&amp;offset=0&amp;query=any,contains,991005355859702656","Catalog Record")</f>
        <v/>
      </c>
      <c r="AT542">
        <f>HYPERLINK("http://www.worldcat.org/oclc/558189","WorldCat Record")</f>
        <v/>
      </c>
      <c r="AU542" t="inlineStr">
        <is>
          <t>61486993:ger</t>
        </is>
      </c>
      <c r="AV542" t="inlineStr">
        <is>
          <t>558189</t>
        </is>
      </c>
      <c r="AW542" t="inlineStr">
        <is>
          <t>991005355859702656</t>
        </is>
      </c>
      <c r="AX542" t="inlineStr">
        <is>
          <t>991005355859702656</t>
        </is>
      </c>
      <c r="AY542" t="inlineStr">
        <is>
          <t>2258196550002656</t>
        </is>
      </c>
      <c r="AZ542" t="inlineStr">
        <is>
          <t>BOOK</t>
        </is>
      </c>
      <c r="BC542" t="inlineStr">
        <is>
          <t>32285002793080</t>
        </is>
      </c>
      <c r="BD542" t="inlineStr">
        <is>
          <t>893713916</t>
        </is>
      </c>
    </row>
    <row r="543">
      <c r="A543" t="inlineStr">
        <is>
          <t>No</t>
        </is>
      </c>
      <c r="B543" t="inlineStr">
        <is>
          <t>QD251 .B4</t>
        </is>
      </c>
      <c r="C543" t="inlineStr">
        <is>
          <t>0                      QD 0251000B  4</t>
        </is>
      </c>
      <c r="D543" t="inlineStr">
        <is>
          <t>Handbuch der organischen Chemie.</t>
        </is>
      </c>
      <c r="E543" t="inlineStr">
        <is>
          <t>V.21</t>
        </is>
      </c>
      <c r="F543" t="inlineStr">
        <is>
          <t>Yes</t>
        </is>
      </c>
      <c r="G543" t="inlineStr">
        <is>
          <t>1</t>
        </is>
      </c>
      <c r="H543" t="inlineStr">
        <is>
          <t>No</t>
        </is>
      </c>
      <c r="I543" t="inlineStr">
        <is>
          <t>No</t>
        </is>
      </c>
      <c r="J543" t="inlineStr">
        <is>
          <t>0</t>
        </is>
      </c>
      <c r="K543" t="inlineStr">
        <is>
          <t>Beilstein, Friedrich Konrad, 1838-1906.</t>
        </is>
      </c>
      <c r="L543" t="inlineStr">
        <is>
          <t>Berlin, J.Springer, 1918-40.</t>
        </is>
      </c>
      <c r="M543" t="inlineStr">
        <is>
          <t>1918</t>
        </is>
      </c>
      <c r="N543" t="inlineStr">
        <is>
          <t>4. Aufl.</t>
        </is>
      </c>
      <c r="O543" t="inlineStr">
        <is>
          <t>ger</t>
        </is>
      </c>
      <c r="P543" t="inlineStr">
        <is>
          <t xml:space="preserve">xx </t>
        </is>
      </c>
      <c r="R543" t="inlineStr">
        <is>
          <t xml:space="preserve">QD </t>
        </is>
      </c>
      <c r="S543" t="n">
        <v>1</v>
      </c>
      <c r="T543" t="n">
        <v>33</v>
      </c>
      <c r="U543" t="inlineStr">
        <is>
          <t>1998-07-27</t>
        </is>
      </c>
      <c r="V543" t="inlineStr">
        <is>
          <t>1998-07-27</t>
        </is>
      </c>
      <c r="W543" t="inlineStr">
        <is>
          <t>1997-06-10</t>
        </is>
      </c>
      <c r="X543" t="inlineStr">
        <is>
          <t>1997-06-10</t>
        </is>
      </c>
      <c r="Y543" t="n">
        <v>128</v>
      </c>
      <c r="Z543" t="n">
        <v>112</v>
      </c>
      <c r="AA543" t="n">
        <v>133</v>
      </c>
      <c r="AB543" t="n">
        <v>2</v>
      </c>
      <c r="AC543" t="n">
        <v>3</v>
      </c>
      <c r="AD543" t="n">
        <v>3</v>
      </c>
      <c r="AE543" t="n">
        <v>5</v>
      </c>
      <c r="AF543" t="n">
        <v>1</v>
      </c>
      <c r="AG543" t="n">
        <v>1</v>
      </c>
      <c r="AH543" t="n">
        <v>1</v>
      </c>
      <c r="AI543" t="n">
        <v>2</v>
      </c>
      <c r="AJ543" t="n">
        <v>1</v>
      </c>
      <c r="AK543" t="n">
        <v>2</v>
      </c>
      <c r="AL543" t="n">
        <v>1</v>
      </c>
      <c r="AM543" t="n">
        <v>2</v>
      </c>
      <c r="AN543" t="n">
        <v>0</v>
      </c>
      <c r="AO543" t="n">
        <v>0</v>
      </c>
      <c r="AP543" t="inlineStr">
        <is>
          <t>Yes</t>
        </is>
      </c>
      <c r="AQ543" t="inlineStr">
        <is>
          <t>Yes</t>
        </is>
      </c>
      <c r="AR543">
        <f>HYPERLINK("http://catalog.hathitrust.org/Record/008863082","HathiTrust Record")</f>
        <v/>
      </c>
      <c r="AS543">
        <f>HYPERLINK("https://creighton-primo.hosted.exlibrisgroup.com/primo-explore/search?tab=default_tab&amp;search_scope=EVERYTHING&amp;vid=01CRU&amp;lang=en_US&amp;offset=0&amp;query=any,contains,991005355859702656","Catalog Record")</f>
        <v/>
      </c>
      <c r="AT543">
        <f>HYPERLINK("http://www.worldcat.org/oclc/558189","WorldCat Record")</f>
        <v/>
      </c>
      <c r="AU543" t="inlineStr">
        <is>
          <t>61486993:ger</t>
        </is>
      </c>
      <c r="AV543" t="inlineStr">
        <is>
          <t>558189</t>
        </is>
      </c>
      <c r="AW543" t="inlineStr">
        <is>
          <t>991005355859702656</t>
        </is>
      </c>
      <c r="AX543" t="inlineStr">
        <is>
          <t>991005355859702656</t>
        </is>
      </c>
      <c r="AY543" t="inlineStr">
        <is>
          <t>2258196550002656</t>
        </is>
      </c>
      <c r="AZ543" t="inlineStr">
        <is>
          <t>BOOK</t>
        </is>
      </c>
      <c r="BC543" t="inlineStr">
        <is>
          <t>32285002793106</t>
        </is>
      </c>
      <c r="BD543" t="inlineStr">
        <is>
          <t>893713915</t>
        </is>
      </c>
    </row>
    <row r="544">
      <c r="A544" t="inlineStr">
        <is>
          <t>No</t>
        </is>
      </c>
      <c r="B544" t="inlineStr">
        <is>
          <t>QD251 .B4</t>
        </is>
      </c>
      <c r="C544" t="inlineStr">
        <is>
          <t>0                      QD 0251000B  4</t>
        </is>
      </c>
      <c r="D544" t="inlineStr">
        <is>
          <t>Handbuch der organischen Chemie.</t>
        </is>
      </c>
      <c r="E544" t="inlineStr">
        <is>
          <t>V.27</t>
        </is>
      </c>
      <c r="F544" t="inlineStr">
        <is>
          <t>Yes</t>
        </is>
      </c>
      <c r="G544" t="inlineStr">
        <is>
          <t>1</t>
        </is>
      </c>
      <c r="H544" t="inlineStr">
        <is>
          <t>No</t>
        </is>
      </c>
      <c r="I544" t="inlineStr">
        <is>
          <t>No</t>
        </is>
      </c>
      <c r="J544" t="inlineStr">
        <is>
          <t>0</t>
        </is>
      </c>
      <c r="K544" t="inlineStr">
        <is>
          <t>Beilstein, Friedrich Konrad, 1838-1906.</t>
        </is>
      </c>
      <c r="L544" t="inlineStr">
        <is>
          <t>Berlin, J.Springer, 1918-40.</t>
        </is>
      </c>
      <c r="M544" t="inlineStr">
        <is>
          <t>1918</t>
        </is>
      </c>
      <c r="N544" t="inlineStr">
        <is>
          <t>4. Aufl.</t>
        </is>
      </c>
      <c r="O544" t="inlineStr">
        <is>
          <t>ger</t>
        </is>
      </c>
      <c r="P544" t="inlineStr">
        <is>
          <t xml:space="preserve">xx </t>
        </is>
      </c>
      <c r="R544" t="inlineStr">
        <is>
          <t xml:space="preserve">QD </t>
        </is>
      </c>
      <c r="S544" t="n">
        <v>1</v>
      </c>
      <c r="T544" t="n">
        <v>33</v>
      </c>
      <c r="U544" t="inlineStr">
        <is>
          <t>1998-07-27</t>
        </is>
      </c>
      <c r="V544" t="inlineStr">
        <is>
          <t>1998-07-27</t>
        </is>
      </c>
      <c r="W544" t="inlineStr">
        <is>
          <t>1997-06-10</t>
        </is>
      </c>
      <c r="X544" t="inlineStr">
        <is>
          <t>1997-06-10</t>
        </is>
      </c>
      <c r="Y544" t="n">
        <v>128</v>
      </c>
      <c r="Z544" t="n">
        <v>112</v>
      </c>
      <c r="AA544" t="n">
        <v>133</v>
      </c>
      <c r="AB544" t="n">
        <v>2</v>
      </c>
      <c r="AC544" t="n">
        <v>3</v>
      </c>
      <c r="AD544" t="n">
        <v>3</v>
      </c>
      <c r="AE544" t="n">
        <v>5</v>
      </c>
      <c r="AF544" t="n">
        <v>1</v>
      </c>
      <c r="AG544" t="n">
        <v>1</v>
      </c>
      <c r="AH544" t="n">
        <v>1</v>
      </c>
      <c r="AI544" t="n">
        <v>2</v>
      </c>
      <c r="AJ544" t="n">
        <v>1</v>
      </c>
      <c r="AK544" t="n">
        <v>2</v>
      </c>
      <c r="AL544" t="n">
        <v>1</v>
      </c>
      <c r="AM544" t="n">
        <v>2</v>
      </c>
      <c r="AN544" t="n">
        <v>0</v>
      </c>
      <c r="AO544" t="n">
        <v>0</v>
      </c>
      <c r="AP544" t="inlineStr">
        <is>
          <t>Yes</t>
        </is>
      </c>
      <c r="AQ544" t="inlineStr">
        <is>
          <t>Yes</t>
        </is>
      </c>
      <c r="AR544">
        <f>HYPERLINK("http://catalog.hathitrust.org/Record/008863082","HathiTrust Record")</f>
        <v/>
      </c>
      <c r="AS544">
        <f>HYPERLINK("https://creighton-primo.hosted.exlibrisgroup.com/primo-explore/search?tab=default_tab&amp;search_scope=EVERYTHING&amp;vid=01CRU&amp;lang=en_US&amp;offset=0&amp;query=any,contains,991005355859702656","Catalog Record")</f>
        <v/>
      </c>
      <c r="AT544">
        <f>HYPERLINK("http://www.worldcat.org/oclc/558189","WorldCat Record")</f>
        <v/>
      </c>
      <c r="AU544" t="inlineStr">
        <is>
          <t>61486993:ger</t>
        </is>
      </c>
      <c r="AV544" t="inlineStr">
        <is>
          <t>558189</t>
        </is>
      </c>
      <c r="AW544" t="inlineStr">
        <is>
          <t>991005355859702656</t>
        </is>
      </c>
      <c r="AX544" t="inlineStr">
        <is>
          <t>991005355859702656</t>
        </is>
      </c>
      <c r="AY544" t="inlineStr">
        <is>
          <t>2258196550002656</t>
        </is>
      </c>
      <c r="AZ544" t="inlineStr">
        <is>
          <t>BOOK</t>
        </is>
      </c>
      <c r="BC544" t="inlineStr">
        <is>
          <t>32285002793163</t>
        </is>
      </c>
      <c r="BD544" t="inlineStr">
        <is>
          <t>893722926</t>
        </is>
      </c>
    </row>
    <row r="545">
      <c r="A545" t="inlineStr">
        <is>
          <t>No</t>
        </is>
      </c>
      <c r="B545" t="inlineStr">
        <is>
          <t>QD251 .B4</t>
        </is>
      </c>
      <c r="C545" t="inlineStr">
        <is>
          <t>0                      QD 0251000B  4</t>
        </is>
      </c>
      <c r="D545" t="inlineStr">
        <is>
          <t>Handbuch der organischen Chemie.</t>
        </is>
      </c>
      <c r="E545" t="inlineStr">
        <is>
          <t>V.12</t>
        </is>
      </c>
      <c r="F545" t="inlineStr">
        <is>
          <t>Yes</t>
        </is>
      </c>
      <c r="G545" t="inlineStr">
        <is>
          <t>1</t>
        </is>
      </c>
      <c r="H545" t="inlineStr">
        <is>
          <t>No</t>
        </is>
      </c>
      <c r="I545" t="inlineStr">
        <is>
          <t>No</t>
        </is>
      </c>
      <c r="J545" t="inlineStr">
        <is>
          <t>0</t>
        </is>
      </c>
      <c r="K545" t="inlineStr">
        <is>
          <t>Beilstein, Friedrich Konrad, 1838-1906.</t>
        </is>
      </c>
      <c r="L545" t="inlineStr">
        <is>
          <t>Berlin, J.Springer, 1918-40.</t>
        </is>
      </c>
      <c r="M545" t="inlineStr">
        <is>
          <t>1918</t>
        </is>
      </c>
      <c r="N545" t="inlineStr">
        <is>
          <t>4. Aufl.</t>
        </is>
      </c>
      <c r="O545" t="inlineStr">
        <is>
          <t>ger</t>
        </is>
      </c>
      <c r="P545" t="inlineStr">
        <is>
          <t xml:space="preserve">xx </t>
        </is>
      </c>
      <c r="R545" t="inlineStr">
        <is>
          <t xml:space="preserve">QD </t>
        </is>
      </c>
      <c r="S545" t="n">
        <v>1</v>
      </c>
      <c r="T545" t="n">
        <v>33</v>
      </c>
      <c r="U545" t="inlineStr">
        <is>
          <t>1998-07-27</t>
        </is>
      </c>
      <c r="V545" t="inlineStr">
        <is>
          <t>1998-07-27</t>
        </is>
      </c>
      <c r="W545" t="inlineStr">
        <is>
          <t>1997-06-10</t>
        </is>
      </c>
      <c r="X545" t="inlineStr">
        <is>
          <t>1997-06-10</t>
        </is>
      </c>
      <c r="Y545" t="n">
        <v>128</v>
      </c>
      <c r="Z545" t="n">
        <v>112</v>
      </c>
      <c r="AA545" t="n">
        <v>133</v>
      </c>
      <c r="AB545" t="n">
        <v>2</v>
      </c>
      <c r="AC545" t="n">
        <v>3</v>
      </c>
      <c r="AD545" t="n">
        <v>3</v>
      </c>
      <c r="AE545" t="n">
        <v>5</v>
      </c>
      <c r="AF545" t="n">
        <v>1</v>
      </c>
      <c r="AG545" t="n">
        <v>1</v>
      </c>
      <c r="AH545" t="n">
        <v>1</v>
      </c>
      <c r="AI545" t="n">
        <v>2</v>
      </c>
      <c r="AJ545" t="n">
        <v>1</v>
      </c>
      <c r="AK545" t="n">
        <v>2</v>
      </c>
      <c r="AL545" t="n">
        <v>1</v>
      </c>
      <c r="AM545" t="n">
        <v>2</v>
      </c>
      <c r="AN545" t="n">
        <v>0</v>
      </c>
      <c r="AO545" t="n">
        <v>0</v>
      </c>
      <c r="AP545" t="inlineStr">
        <is>
          <t>Yes</t>
        </is>
      </c>
      <c r="AQ545" t="inlineStr">
        <is>
          <t>Yes</t>
        </is>
      </c>
      <c r="AR545">
        <f>HYPERLINK("http://catalog.hathitrust.org/Record/008863082","HathiTrust Record")</f>
        <v/>
      </c>
      <c r="AS545">
        <f>HYPERLINK("https://creighton-primo.hosted.exlibrisgroup.com/primo-explore/search?tab=default_tab&amp;search_scope=EVERYTHING&amp;vid=01CRU&amp;lang=en_US&amp;offset=0&amp;query=any,contains,991005355859702656","Catalog Record")</f>
        <v/>
      </c>
      <c r="AT545">
        <f>HYPERLINK("http://www.worldcat.org/oclc/558189","WorldCat Record")</f>
        <v/>
      </c>
      <c r="AU545" t="inlineStr">
        <is>
          <t>61486993:ger</t>
        </is>
      </c>
      <c r="AV545" t="inlineStr">
        <is>
          <t>558189</t>
        </is>
      </c>
      <c r="AW545" t="inlineStr">
        <is>
          <t>991005355859702656</t>
        </is>
      </c>
      <c r="AX545" t="inlineStr">
        <is>
          <t>991005355859702656</t>
        </is>
      </c>
      <c r="AY545" t="inlineStr">
        <is>
          <t>2258196550002656</t>
        </is>
      </c>
      <c r="AZ545" t="inlineStr">
        <is>
          <t>BOOK</t>
        </is>
      </c>
      <c r="BC545" t="inlineStr">
        <is>
          <t>32285002793015</t>
        </is>
      </c>
      <c r="BD545" t="inlineStr">
        <is>
          <t>893713917</t>
        </is>
      </c>
    </row>
    <row r="546">
      <c r="A546" t="inlineStr">
        <is>
          <t>No</t>
        </is>
      </c>
      <c r="B546" t="inlineStr">
        <is>
          <t>QD251 .B4</t>
        </is>
      </c>
      <c r="C546" t="inlineStr">
        <is>
          <t>0                      QD 0251000B  4</t>
        </is>
      </c>
      <c r="D546" t="inlineStr">
        <is>
          <t>Handbuch der organischen Chemie.</t>
        </is>
      </c>
      <c r="E546" t="inlineStr">
        <is>
          <t>V.29 PT.2</t>
        </is>
      </c>
      <c r="F546" t="inlineStr">
        <is>
          <t>Yes</t>
        </is>
      </c>
      <c r="G546" t="inlineStr">
        <is>
          <t>1</t>
        </is>
      </c>
      <c r="H546" t="inlineStr">
        <is>
          <t>No</t>
        </is>
      </c>
      <c r="I546" t="inlineStr">
        <is>
          <t>No</t>
        </is>
      </c>
      <c r="J546" t="inlineStr">
        <is>
          <t>0</t>
        </is>
      </c>
      <c r="K546" t="inlineStr">
        <is>
          <t>Beilstein, Friedrich Konrad, 1838-1906.</t>
        </is>
      </c>
      <c r="L546" t="inlineStr">
        <is>
          <t>Berlin, J.Springer, 1918-40.</t>
        </is>
      </c>
      <c r="M546" t="inlineStr">
        <is>
          <t>1918</t>
        </is>
      </c>
      <c r="N546" t="inlineStr">
        <is>
          <t>4. Aufl.</t>
        </is>
      </c>
      <c r="O546" t="inlineStr">
        <is>
          <t>ger</t>
        </is>
      </c>
      <c r="P546" t="inlineStr">
        <is>
          <t xml:space="preserve">xx </t>
        </is>
      </c>
      <c r="R546" t="inlineStr">
        <is>
          <t xml:space="preserve">QD </t>
        </is>
      </c>
      <c r="S546" t="n">
        <v>1</v>
      </c>
      <c r="T546" t="n">
        <v>33</v>
      </c>
      <c r="U546" t="inlineStr">
        <is>
          <t>1998-07-27</t>
        </is>
      </c>
      <c r="V546" t="inlineStr">
        <is>
          <t>1998-07-27</t>
        </is>
      </c>
      <c r="W546" t="inlineStr">
        <is>
          <t>1997-06-10</t>
        </is>
      </c>
      <c r="X546" t="inlineStr">
        <is>
          <t>1997-06-10</t>
        </is>
      </c>
      <c r="Y546" t="n">
        <v>128</v>
      </c>
      <c r="Z546" t="n">
        <v>112</v>
      </c>
      <c r="AA546" t="n">
        <v>133</v>
      </c>
      <c r="AB546" t="n">
        <v>2</v>
      </c>
      <c r="AC546" t="n">
        <v>3</v>
      </c>
      <c r="AD546" t="n">
        <v>3</v>
      </c>
      <c r="AE546" t="n">
        <v>5</v>
      </c>
      <c r="AF546" t="n">
        <v>1</v>
      </c>
      <c r="AG546" t="n">
        <v>1</v>
      </c>
      <c r="AH546" t="n">
        <v>1</v>
      </c>
      <c r="AI546" t="n">
        <v>2</v>
      </c>
      <c r="AJ546" t="n">
        <v>1</v>
      </c>
      <c r="AK546" t="n">
        <v>2</v>
      </c>
      <c r="AL546" t="n">
        <v>1</v>
      </c>
      <c r="AM546" t="n">
        <v>2</v>
      </c>
      <c r="AN546" t="n">
        <v>0</v>
      </c>
      <c r="AO546" t="n">
        <v>0</v>
      </c>
      <c r="AP546" t="inlineStr">
        <is>
          <t>Yes</t>
        </is>
      </c>
      <c r="AQ546" t="inlineStr">
        <is>
          <t>Yes</t>
        </is>
      </c>
      <c r="AR546">
        <f>HYPERLINK("http://catalog.hathitrust.org/Record/008863082","HathiTrust Record")</f>
        <v/>
      </c>
      <c r="AS546">
        <f>HYPERLINK("https://creighton-primo.hosted.exlibrisgroup.com/primo-explore/search?tab=default_tab&amp;search_scope=EVERYTHING&amp;vid=01CRU&amp;lang=en_US&amp;offset=0&amp;query=any,contains,991005355859702656","Catalog Record")</f>
        <v/>
      </c>
      <c r="AT546">
        <f>HYPERLINK("http://www.worldcat.org/oclc/558189","WorldCat Record")</f>
        <v/>
      </c>
      <c r="AU546" t="inlineStr">
        <is>
          <t>61486993:ger</t>
        </is>
      </c>
      <c r="AV546" t="inlineStr">
        <is>
          <t>558189</t>
        </is>
      </c>
      <c r="AW546" t="inlineStr">
        <is>
          <t>991005355859702656</t>
        </is>
      </c>
      <c r="AX546" t="inlineStr">
        <is>
          <t>991005355859702656</t>
        </is>
      </c>
      <c r="AY546" t="inlineStr">
        <is>
          <t>2258196550002656</t>
        </is>
      </c>
      <c r="AZ546" t="inlineStr">
        <is>
          <t>BOOK</t>
        </is>
      </c>
      <c r="BC546" t="inlineStr">
        <is>
          <t>32285002793205</t>
        </is>
      </c>
      <c r="BD546" t="inlineStr">
        <is>
          <t>893720225</t>
        </is>
      </c>
    </row>
    <row r="547">
      <c r="A547" t="inlineStr">
        <is>
          <t>No</t>
        </is>
      </c>
      <c r="B547" t="inlineStr">
        <is>
          <t>QD251 .B4</t>
        </is>
      </c>
      <c r="C547" t="inlineStr">
        <is>
          <t>0                      QD 0251000B  4</t>
        </is>
      </c>
      <c r="D547" t="inlineStr">
        <is>
          <t>Handbuch der organischen Chemie.</t>
        </is>
      </c>
      <c r="E547" t="inlineStr">
        <is>
          <t>V.11</t>
        </is>
      </c>
      <c r="F547" t="inlineStr">
        <is>
          <t>Yes</t>
        </is>
      </c>
      <c r="G547" t="inlineStr">
        <is>
          <t>1</t>
        </is>
      </c>
      <c r="H547" t="inlineStr">
        <is>
          <t>No</t>
        </is>
      </c>
      <c r="I547" t="inlineStr">
        <is>
          <t>No</t>
        </is>
      </c>
      <c r="J547" t="inlineStr">
        <is>
          <t>0</t>
        </is>
      </c>
      <c r="K547" t="inlineStr">
        <is>
          <t>Beilstein, Friedrich Konrad, 1838-1906.</t>
        </is>
      </c>
      <c r="L547" t="inlineStr">
        <is>
          <t>Berlin, J.Springer, 1918-40.</t>
        </is>
      </c>
      <c r="M547" t="inlineStr">
        <is>
          <t>1918</t>
        </is>
      </c>
      <c r="N547" t="inlineStr">
        <is>
          <t>4. Aufl.</t>
        </is>
      </c>
      <c r="O547" t="inlineStr">
        <is>
          <t>ger</t>
        </is>
      </c>
      <c r="P547" t="inlineStr">
        <is>
          <t xml:space="preserve">xx </t>
        </is>
      </c>
      <c r="R547" t="inlineStr">
        <is>
          <t xml:space="preserve">QD </t>
        </is>
      </c>
      <c r="S547" t="n">
        <v>1</v>
      </c>
      <c r="T547" t="n">
        <v>33</v>
      </c>
      <c r="U547" t="inlineStr">
        <is>
          <t>1998-07-27</t>
        </is>
      </c>
      <c r="V547" t="inlineStr">
        <is>
          <t>1998-07-27</t>
        </is>
      </c>
      <c r="W547" t="inlineStr">
        <is>
          <t>1997-06-10</t>
        </is>
      </c>
      <c r="X547" t="inlineStr">
        <is>
          <t>1997-06-10</t>
        </is>
      </c>
      <c r="Y547" t="n">
        <v>128</v>
      </c>
      <c r="Z547" t="n">
        <v>112</v>
      </c>
      <c r="AA547" t="n">
        <v>133</v>
      </c>
      <c r="AB547" t="n">
        <v>2</v>
      </c>
      <c r="AC547" t="n">
        <v>3</v>
      </c>
      <c r="AD547" t="n">
        <v>3</v>
      </c>
      <c r="AE547" t="n">
        <v>5</v>
      </c>
      <c r="AF547" t="n">
        <v>1</v>
      </c>
      <c r="AG547" t="n">
        <v>1</v>
      </c>
      <c r="AH547" t="n">
        <v>1</v>
      </c>
      <c r="AI547" t="n">
        <v>2</v>
      </c>
      <c r="AJ547" t="n">
        <v>1</v>
      </c>
      <c r="AK547" t="n">
        <v>2</v>
      </c>
      <c r="AL547" t="n">
        <v>1</v>
      </c>
      <c r="AM547" t="n">
        <v>2</v>
      </c>
      <c r="AN547" t="n">
        <v>0</v>
      </c>
      <c r="AO547" t="n">
        <v>0</v>
      </c>
      <c r="AP547" t="inlineStr">
        <is>
          <t>Yes</t>
        </is>
      </c>
      <c r="AQ547" t="inlineStr">
        <is>
          <t>Yes</t>
        </is>
      </c>
      <c r="AR547">
        <f>HYPERLINK("http://catalog.hathitrust.org/Record/008863082","HathiTrust Record")</f>
        <v/>
      </c>
      <c r="AS547">
        <f>HYPERLINK("https://creighton-primo.hosted.exlibrisgroup.com/primo-explore/search?tab=default_tab&amp;search_scope=EVERYTHING&amp;vid=01CRU&amp;lang=en_US&amp;offset=0&amp;query=any,contains,991005355859702656","Catalog Record")</f>
        <v/>
      </c>
      <c r="AT547">
        <f>HYPERLINK("http://www.worldcat.org/oclc/558189","WorldCat Record")</f>
        <v/>
      </c>
      <c r="AU547" t="inlineStr">
        <is>
          <t>61486993:ger</t>
        </is>
      </c>
      <c r="AV547" t="inlineStr">
        <is>
          <t>558189</t>
        </is>
      </c>
      <c r="AW547" t="inlineStr">
        <is>
          <t>991005355859702656</t>
        </is>
      </c>
      <c r="AX547" t="inlineStr">
        <is>
          <t>991005355859702656</t>
        </is>
      </c>
      <c r="AY547" t="inlineStr">
        <is>
          <t>2258196550002656</t>
        </is>
      </c>
      <c r="AZ547" t="inlineStr">
        <is>
          <t>BOOK</t>
        </is>
      </c>
      <c r="BC547" t="inlineStr">
        <is>
          <t>32285002793007</t>
        </is>
      </c>
      <c r="BD547" t="inlineStr">
        <is>
          <t>893720228</t>
        </is>
      </c>
    </row>
    <row r="548">
      <c r="A548" t="inlineStr">
        <is>
          <t>No</t>
        </is>
      </c>
      <c r="B548" t="inlineStr">
        <is>
          <t>QD251 .B4</t>
        </is>
      </c>
      <c r="C548" t="inlineStr">
        <is>
          <t>0                      QD 0251000B  4</t>
        </is>
      </c>
      <c r="D548" t="inlineStr">
        <is>
          <t>Handbuch der organischen Chemie.</t>
        </is>
      </c>
      <c r="E548" t="inlineStr">
        <is>
          <t>V.26</t>
        </is>
      </c>
      <c r="F548" t="inlineStr">
        <is>
          <t>Yes</t>
        </is>
      </c>
      <c r="G548" t="inlineStr">
        <is>
          <t>1</t>
        </is>
      </c>
      <c r="H548" t="inlineStr">
        <is>
          <t>No</t>
        </is>
      </c>
      <c r="I548" t="inlineStr">
        <is>
          <t>No</t>
        </is>
      </c>
      <c r="J548" t="inlineStr">
        <is>
          <t>0</t>
        </is>
      </c>
      <c r="K548" t="inlineStr">
        <is>
          <t>Beilstein, Friedrich Konrad, 1838-1906.</t>
        </is>
      </c>
      <c r="L548" t="inlineStr">
        <is>
          <t>Berlin, J.Springer, 1918-40.</t>
        </is>
      </c>
      <c r="M548" t="inlineStr">
        <is>
          <t>1918</t>
        </is>
      </c>
      <c r="N548" t="inlineStr">
        <is>
          <t>4. Aufl.</t>
        </is>
      </c>
      <c r="O548" t="inlineStr">
        <is>
          <t>ger</t>
        </is>
      </c>
      <c r="P548" t="inlineStr">
        <is>
          <t xml:space="preserve">xx </t>
        </is>
      </c>
      <c r="R548" t="inlineStr">
        <is>
          <t xml:space="preserve">QD </t>
        </is>
      </c>
      <c r="S548" t="n">
        <v>1</v>
      </c>
      <c r="T548" t="n">
        <v>33</v>
      </c>
      <c r="U548" t="inlineStr">
        <is>
          <t>1998-07-27</t>
        </is>
      </c>
      <c r="V548" t="inlineStr">
        <is>
          <t>1998-07-27</t>
        </is>
      </c>
      <c r="W548" t="inlineStr">
        <is>
          <t>1997-06-10</t>
        </is>
      </c>
      <c r="X548" t="inlineStr">
        <is>
          <t>1997-06-10</t>
        </is>
      </c>
      <c r="Y548" t="n">
        <v>128</v>
      </c>
      <c r="Z548" t="n">
        <v>112</v>
      </c>
      <c r="AA548" t="n">
        <v>133</v>
      </c>
      <c r="AB548" t="n">
        <v>2</v>
      </c>
      <c r="AC548" t="n">
        <v>3</v>
      </c>
      <c r="AD548" t="n">
        <v>3</v>
      </c>
      <c r="AE548" t="n">
        <v>5</v>
      </c>
      <c r="AF548" t="n">
        <v>1</v>
      </c>
      <c r="AG548" t="n">
        <v>1</v>
      </c>
      <c r="AH548" t="n">
        <v>1</v>
      </c>
      <c r="AI548" t="n">
        <v>2</v>
      </c>
      <c r="AJ548" t="n">
        <v>1</v>
      </c>
      <c r="AK548" t="n">
        <v>2</v>
      </c>
      <c r="AL548" t="n">
        <v>1</v>
      </c>
      <c r="AM548" t="n">
        <v>2</v>
      </c>
      <c r="AN548" t="n">
        <v>0</v>
      </c>
      <c r="AO548" t="n">
        <v>0</v>
      </c>
      <c r="AP548" t="inlineStr">
        <is>
          <t>Yes</t>
        </is>
      </c>
      <c r="AQ548" t="inlineStr">
        <is>
          <t>Yes</t>
        </is>
      </c>
      <c r="AR548">
        <f>HYPERLINK("http://catalog.hathitrust.org/Record/008863082","HathiTrust Record")</f>
        <v/>
      </c>
      <c r="AS548">
        <f>HYPERLINK("https://creighton-primo.hosted.exlibrisgroup.com/primo-explore/search?tab=default_tab&amp;search_scope=EVERYTHING&amp;vid=01CRU&amp;lang=en_US&amp;offset=0&amp;query=any,contains,991005355859702656","Catalog Record")</f>
        <v/>
      </c>
      <c r="AT548">
        <f>HYPERLINK("http://www.worldcat.org/oclc/558189","WorldCat Record")</f>
        <v/>
      </c>
      <c r="AU548" t="inlineStr">
        <is>
          <t>61486993:ger</t>
        </is>
      </c>
      <c r="AV548" t="inlineStr">
        <is>
          <t>558189</t>
        </is>
      </c>
      <c r="AW548" t="inlineStr">
        <is>
          <t>991005355859702656</t>
        </is>
      </c>
      <c r="AX548" t="inlineStr">
        <is>
          <t>991005355859702656</t>
        </is>
      </c>
      <c r="AY548" t="inlineStr">
        <is>
          <t>2258196550002656</t>
        </is>
      </c>
      <c r="AZ548" t="inlineStr">
        <is>
          <t>BOOK</t>
        </is>
      </c>
      <c r="BC548" t="inlineStr">
        <is>
          <t>32285002793155</t>
        </is>
      </c>
      <c r="BD548" t="inlineStr">
        <is>
          <t>893713914</t>
        </is>
      </c>
    </row>
    <row r="549">
      <c r="A549" t="inlineStr">
        <is>
          <t>No</t>
        </is>
      </c>
      <c r="B549" t="inlineStr">
        <is>
          <t>QD251 .B4</t>
        </is>
      </c>
      <c r="C549" t="inlineStr">
        <is>
          <t>0                      QD 0251000B  4</t>
        </is>
      </c>
      <c r="D549" t="inlineStr">
        <is>
          <t>Handbuch der organischen Chemie.</t>
        </is>
      </c>
      <c r="E549" t="inlineStr">
        <is>
          <t>V.7</t>
        </is>
      </c>
      <c r="F549" t="inlineStr">
        <is>
          <t>Yes</t>
        </is>
      </c>
      <c r="G549" t="inlineStr">
        <is>
          <t>1</t>
        </is>
      </c>
      <c r="H549" t="inlineStr">
        <is>
          <t>No</t>
        </is>
      </c>
      <c r="I549" t="inlineStr">
        <is>
          <t>No</t>
        </is>
      </c>
      <c r="J549" t="inlineStr">
        <is>
          <t>0</t>
        </is>
      </c>
      <c r="K549" t="inlineStr">
        <is>
          <t>Beilstein, Friedrich Konrad, 1838-1906.</t>
        </is>
      </c>
      <c r="L549" t="inlineStr">
        <is>
          <t>Berlin, J.Springer, 1918-40.</t>
        </is>
      </c>
      <c r="M549" t="inlineStr">
        <is>
          <t>1918</t>
        </is>
      </c>
      <c r="N549" t="inlineStr">
        <is>
          <t>4. Aufl.</t>
        </is>
      </c>
      <c r="O549" t="inlineStr">
        <is>
          <t>ger</t>
        </is>
      </c>
      <c r="P549" t="inlineStr">
        <is>
          <t xml:space="preserve">xx </t>
        </is>
      </c>
      <c r="R549" t="inlineStr">
        <is>
          <t xml:space="preserve">QD </t>
        </is>
      </c>
      <c r="S549" t="n">
        <v>1</v>
      </c>
      <c r="T549" t="n">
        <v>33</v>
      </c>
      <c r="U549" t="inlineStr">
        <is>
          <t>1998-07-27</t>
        </is>
      </c>
      <c r="V549" t="inlineStr">
        <is>
          <t>1998-07-27</t>
        </is>
      </c>
      <c r="W549" t="inlineStr">
        <is>
          <t>1997-06-10</t>
        </is>
      </c>
      <c r="X549" t="inlineStr">
        <is>
          <t>1997-06-10</t>
        </is>
      </c>
      <c r="Y549" t="n">
        <v>128</v>
      </c>
      <c r="Z549" t="n">
        <v>112</v>
      </c>
      <c r="AA549" t="n">
        <v>133</v>
      </c>
      <c r="AB549" t="n">
        <v>2</v>
      </c>
      <c r="AC549" t="n">
        <v>3</v>
      </c>
      <c r="AD549" t="n">
        <v>3</v>
      </c>
      <c r="AE549" t="n">
        <v>5</v>
      </c>
      <c r="AF549" t="n">
        <v>1</v>
      </c>
      <c r="AG549" t="n">
        <v>1</v>
      </c>
      <c r="AH549" t="n">
        <v>1</v>
      </c>
      <c r="AI549" t="n">
        <v>2</v>
      </c>
      <c r="AJ549" t="n">
        <v>1</v>
      </c>
      <c r="AK549" t="n">
        <v>2</v>
      </c>
      <c r="AL549" t="n">
        <v>1</v>
      </c>
      <c r="AM549" t="n">
        <v>2</v>
      </c>
      <c r="AN549" t="n">
        <v>0</v>
      </c>
      <c r="AO549" t="n">
        <v>0</v>
      </c>
      <c r="AP549" t="inlineStr">
        <is>
          <t>Yes</t>
        </is>
      </c>
      <c r="AQ549" t="inlineStr">
        <is>
          <t>Yes</t>
        </is>
      </c>
      <c r="AR549">
        <f>HYPERLINK("http://catalog.hathitrust.org/Record/008863082","HathiTrust Record")</f>
        <v/>
      </c>
      <c r="AS549">
        <f>HYPERLINK("https://creighton-primo.hosted.exlibrisgroup.com/primo-explore/search?tab=default_tab&amp;search_scope=EVERYTHING&amp;vid=01CRU&amp;lang=en_US&amp;offset=0&amp;query=any,contains,991005355859702656","Catalog Record")</f>
        <v/>
      </c>
      <c r="AT549">
        <f>HYPERLINK("http://www.worldcat.org/oclc/558189","WorldCat Record")</f>
        <v/>
      </c>
      <c r="AU549" t="inlineStr">
        <is>
          <t>61486993:ger</t>
        </is>
      </c>
      <c r="AV549" t="inlineStr">
        <is>
          <t>558189</t>
        </is>
      </c>
      <c r="AW549" t="inlineStr">
        <is>
          <t>991005355859702656</t>
        </is>
      </c>
      <c r="AX549" t="inlineStr">
        <is>
          <t>991005355859702656</t>
        </is>
      </c>
      <c r="AY549" t="inlineStr">
        <is>
          <t>2258196550002656</t>
        </is>
      </c>
      <c r="AZ549" t="inlineStr">
        <is>
          <t>BOOK</t>
        </is>
      </c>
      <c r="BC549" t="inlineStr">
        <is>
          <t>32285002792967</t>
        </is>
      </c>
      <c r="BD549" t="inlineStr">
        <is>
          <t>893707701</t>
        </is>
      </c>
    </row>
    <row r="550">
      <c r="A550" t="inlineStr">
        <is>
          <t>No</t>
        </is>
      </c>
      <c r="B550" t="inlineStr">
        <is>
          <t>QD251 .B4</t>
        </is>
      </c>
      <c r="C550" t="inlineStr">
        <is>
          <t>0                      QD 0251000B  4</t>
        </is>
      </c>
      <c r="D550" t="inlineStr">
        <is>
          <t>Handbuch der organischen Chemie.</t>
        </is>
      </c>
      <c r="E550" t="inlineStr">
        <is>
          <t>V.31</t>
        </is>
      </c>
      <c r="F550" t="inlineStr">
        <is>
          <t>Yes</t>
        </is>
      </c>
      <c r="G550" t="inlineStr">
        <is>
          <t>1</t>
        </is>
      </c>
      <c r="H550" t="inlineStr">
        <is>
          <t>No</t>
        </is>
      </c>
      <c r="I550" t="inlineStr">
        <is>
          <t>No</t>
        </is>
      </c>
      <c r="J550" t="inlineStr">
        <is>
          <t>0</t>
        </is>
      </c>
      <c r="K550" t="inlineStr">
        <is>
          <t>Beilstein, Friedrich Konrad, 1838-1906.</t>
        </is>
      </c>
      <c r="L550" t="inlineStr">
        <is>
          <t>Berlin, J.Springer, 1918-40.</t>
        </is>
      </c>
      <c r="M550" t="inlineStr">
        <is>
          <t>1918</t>
        </is>
      </c>
      <c r="N550" t="inlineStr">
        <is>
          <t>4. Aufl.</t>
        </is>
      </c>
      <c r="O550" t="inlineStr">
        <is>
          <t>ger</t>
        </is>
      </c>
      <c r="P550" t="inlineStr">
        <is>
          <t xml:space="preserve">xx </t>
        </is>
      </c>
      <c r="R550" t="inlineStr">
        <is>
          <t xml:space="preserve">QD </t>
        </is>
      </c>
      <c r="S550" t="n">
        <v>1</v>
      </c>
      <c r="T550" t="n">
        <v>33</v>
      </c>
      <c r="U550" t="inlineStr">
        <is>
          <t>1998-07-27</t>
        </is>
      </c>
      <c r="V550" t="inlineStr">
        <is>
          <t>1998-07-27</t>
        </is>
      </c>
      <c r="W550" t="inlineStr">
        <is>
          <t>1997-06-10</t>
        </is>
      </c>
      <c r="X550" t="inlineStr">
        <is>
          <t>1997-06-10</t>
        </is>
      </c>
      <c r="Y550" t="n">
        <v>128</v>
      </c>
      <c r="Z550" t="n">
        <v>112</v>
      </c>
      <c r="AA550" t="n">
        <v>133</v>
      </c>
      <c r="AB550" t="n">
        <v>2</v>
      </c>
      <c r="AC550" t="n">
        <v>3</v>
      </c>
      <c r="AD550" t="n">
        <v>3</v>
      </c>
      <c r="AE550" t="n">
        <v>5</v>
      </c>
      <c r="AF550" t="n">
        <v>1</v>
      </c>
      <c r="AG550" t="n">
        <v>1</v>
      </c>
      <c r="AH550" t="n">
        <v>1</v>
      </c>
      <c r="AI550" t="n">
        <v>2</v>
      </c>
      <c r="AJ550" t="n">
        <v>1</v>
      </c>
      <c r="AK550" t="n">
        <v>2</v>
      </c>
      <c r="AL550" t="n">
        <v>1</v>
      </c>
      <c r="AM550" t="n">
        <v>2</v>
      </c>
      <c r="AN550" t="n">
        <v>0</v>
      </c>
      <c r="AO550" t="n">
        <v>0</v>
      </c>
      <c r="AP550" t="inlineStr">
        <is>
          <t>Yes</t>
        </is>
      </c>
      <c r="AQ550" t="inlineStr">
        <is>
          <t>Yes</t>
        </is>
      </c>
      <c r="AR550">
        <f>HYPERLINK("http://catalog.hathitrust.org/Record/008863082","HathiTrust Record")</f>
        <v/>
      </c>
      <c r="AS550">
        <f>HYPERLINK("https://creighton-primo.hosted.exlibrisgroup.com/primo-explore/search?tab=default_tab&amp;search_scope=EVERYTHING&amp;vid=01CRU&amp;lang=en_US&amp;offset=0&amp;query=any,contains,991005355859702656","Catalog Record")</f>
        <v/>
      </c>
      <c r="AT550">
        <f>HYPERLINK("http://www.worldcat.org/oclc/558189","WorldCat Record")</f>
        <v/>
      </c>
      <c r="AU550" t="inlineStr">
        <is>
          <t>61486993:ger</t>
        </is>
      </c>
      <c r="AV550" t="inlineStr">
        <is>
          <t>558189</t>
        </is>
      </c>
      <c r="AW550" t="inlineStr">
        <is>
          <t>991005355859702656</t>
        </is>
      </c>
      <c r="AX550" t="inlineStr">
        <is>
          <t>991005355859702656</t>
        </is>
      </c>
      <c r="AY550" t="inlineStr">
        <is>
          <t>2258196550002656</t>
        </is>
      </c>
      <c r="AZ550" t="inlineStr">
        <is>
          <t>BOOK</t>
        </is>
      </c>
      <c r="BC550" t="inlineStr">
        <is>
          <t>32285002793221</t>
        </is>
      </c>
      <c r="BD550" t="inlineStr">
        <is>
          <t>893701436</t>
        </is>
      </c>
    </row>
    <row r="551">
      <c r="A551" t="inlineStr">
        <is>
          <t>No</t>
        </is>
      </c>
      <c r="B551" t="inlineStr">
        <is>
          <t>QD251 .B4</t>
        </is>
      </c>
      <c r="C551" t="inlineStr">
        <is>
          <t>0                      QD 0251000B  4</t>
        </is>
      </c>
      <c r="D551" t="inlineStr">
        <is>
          <t>Handbuch der organischen Chemie.</t>
        </is>
      </c>
      <c r="E551" t="inlineStr">
        <is>
          <t>V.15</t>
        </is>
      </c>
      <c r="F551" t="inlineStr">
        <is>
          <t>Yes</t>
        </is>
      </c>
      <c r="G551" t="inlineStr">
        <is>
          <t>1</t>
        </is>
      </c>
      <c r="H551" t="inlineStr">
        <is>
          <t>No</t>
        </is>
      </c>
      <c r="I551" t="inlineStr">
        <is>
          <t>No</t>
        </is>
      </c>
      <c r="J551" t="inlineStr">
        <is>
          <t>0</t>
        </is>
      </c>
      <c r="K551" t="inlineStr">
        <is>
          <t>Beilstein, Friedrich Konrad, 1838-1906.</t>
        </is>
      </c>
      <c r="L551" t="inlineStr">
        <is>
          <t>Berlin, J.Springer, 1918-40.</t>
        </is>
      </c>
      <c r="M551" t="inlineStr">
        <is>
          <t>1918</t>
        </is>
      </c>
      <c r="N551" t="inlineStr">
        <is>
          <t>4. Aufl.</t>
        </is>
      </c>
      <c r="O551" t="inlineStr">
        <is>
          <t>ger</t>
        </is>
      </c>
      <c r="P551" t="inlineStr">
        <is>
          <t xml:space="preserve">xx </t>
        </is>
      </c>
      <c r="R551" t="inlineStr">
        <is>
          <t xml:space="preserve">QD </t>
        </is>
      </c>
      <c r="S551" t="n">
        <v>1</v>
      </c>
      <c r="T551" t="n">
        <v>33</v>
      </c>
      <c r="U551" t="inlineStr">
        <is>
          <t>1998-07-27</t>
        </is>
      </c>
      <c r="V551" t="inlineStr">
        <is>
          <t>1998-07-27</t>
        </is>
      </c>
      <c r="W551" t="inlineStr">
        <is>
          <t>1997-06-10</t>
        </is>
      </c>
      <c r="X551" t="inlineStr">
        <is>
          <t>1997-06-10</t>
        </is>
      </c>
      <c r="Y551" t="n">
        <v>128</v>
      </c>
      <c r="Z551" t="n">
        <v>112</v>
      </c>
      <c r="AA551" t="n">
        <v>133</v>
      </c>
      <c r="AB551" t="n">
        <v>2</v>
      </c>
      <c r="AC551" t="n">
        <v>3</v>
      </c>
      <c r="AD551" t="n">
        <v>3</v>
      </c>
      <c r="AE551" t="n">
        <v>5</v>
      </c>
      <c r="AF551" t="n">
        <v>1</v>
      </c>
      <c r="AG551" t="n">
        <v>1</v>
      </c>
      <c r="AH551" t="n">
        <v>1</v>
      </c>
      <c r="AI551" t="n">
        <v>2</v>
      </c>
      <c r="AJ551" t="n">
        <v>1</v>
      </c>
      <c r="AK551" t="n">
        <v>2</v>
      </c>
      <c r="AL551" t="n">
        <v>1</v>
      </c>
      <c r="AM551" t="n">
        <v>2</v>
      </c>
      <c r="AN551" t="n">
        <v>0</v>
      </c>
      <c r="AO551" t="n">
        <v>0</v>
      </c>
      <c r="AP551" t="inlineStr">
        <is>
          <t>Yes</t>
        </is>
      </c>
      <c r="AQ551" t="inlineStr">
        <is>
          <t>Yes</t>
        </is>
      </c>
      <c r="AR551">
        <f>HYPERLINK("http://catalog.hathitrust.org/Record/008863082","HathiTrust Record")</f>
        <v/>
      </c>
      <c r="AS551">
        <f>HYPERLINK("https://creighton-primo.hosted.exlibrisgroup.com/primo-explore/search?tab=default_tab&amp;search_scope=EVERYTHING&amp;vid=01CRU&amp;lang=en_US&amp;offset=0&amp;query=any,contains,991005355859702656","Catalog Record")</f>
        <v/>
      </c>
      <c r="AT551">
        <f>HYPERLINK("http://www.worldcat.org/oclc/558189","WorldCat Record")</f>
        <v/>
      </c>
      <c r="AU551" t="inlineStr">
        <is>
          <t>61486993:ger</t>
        </is>
      </c>
      <c r="AV551" t="inlineStr">
        <is>
          <t>558189</t>
        </is>
      </c>
      <c r="AW551" t="inlineStr">
        <is>
          <t>991005355859702656</t>
        </is>
      </c>
      <c r="AX551" t="inlineStr">
        <is>
          <t>991005355859702656</t>
        </is>
      </c>
      <c r="AY551" t="inlineStr">
        <is>
          <t>2258196550002656</t>
        </is>
      </c>
      <c r="AZ551" t="inlineStr">
        <is>
          <t>BOOK</t>
        </is>
      </c>
      <c r="BC551" t="inlineStr">
        <is>
          <t>32285002793049</t>
        </is>
      </c>
      <c r="BD551" t="inlineStr">
        <is>
          <t>893720233</t>
        </is>
      </c>
    </row>
    <row r="552">
      <c r="A552" t="inlineStr">
        <is>
          <t>No</t>
        </is>
      </c>
      <c r="B552" t="inlineStr">
        <is>
          <t>QD251 .B4</t>
        </is>
      </c>
      <c r="C552" t="inlineStr">
        <is>
          <t>0                      QD 0251000B  4</t>
        </is>
      </c>
      <c r="D552" t="inlineStr">
        <is>
          <t>Handbuch der organischen Chemie.</t>
        </is>
      </c>
      <c r="E552" t="inlineStr">
        <is>
          <t>V.29 PT.1</t>
        </is>
      </c>
      <c r="F552" t="inlineStr">
        <is>
          <t>Yes</t>
        </is>
      </c>
      <c r="G552" t="inlineStr">
        <is>
          <t>1</t>
        </is>
      </c>
      <c r="H552" t="inlineStr">
        <is>
          <t>No</t>
        </is>
      </c>
      <c r="I552" t="inlineStr">
        <is>
          <t>No</t>
        </is>
      </c>
      <c r="J552" t="inlineStr">
        <is>
          <t>0</t>
        </is>
      </c>
      <c r="K552" t="inlineStr">
        <is>
          <t>Beilstein, Friedrich Konrad, 1838-1906.</t>
        </is>
      </c>
      <c r="L552" t="inlineStr">
        <is>
          <t>Berlin, J.Springer, 1918-40.</t>
        </is>
      </c>
      <c r="M552" t="inlineStr">
        <is>
          <t>1918</t>
        </is>
      </c>
      <c r="N552" t="inlineStr">
        <is>
          <t>4. Aufl.</t>
        </is>
      </c>
      <c r="O552" t="inlineStr">
        <is>
          <t>ger</t>
        </is>
      </c>
      <c r="P552" t="inlineStr">
        <is>
          <t xml:space="preserve">xx </t>
        </is>
      </c>
      <c r="R552" t="inlineStr">
        <is>
          <t xml:space="preserve">QD </t>
        </is>
      </c>
      <c r="S552" t="n">
        <v>1</v>
      </c>
      <c r="T552" t="n">
        <v>33</v>
      </c>
      <c r="U552" t="inlineStr">
        <is>
          <t>1998-07-27</t>
        </is>
      </c>
      <c r="V552" t="inlineStr">
        <is>
          <t>1998-07-27</t>
        </is>
      </c>
      <c r="W552" t="inlineStr">
        <is>
          <t>1997-06-10</t>
        </is>
      </c>
      <c r="X552" t="inlineStr">
        <is>
          <t>1997-06-10</t>
        </is>
      </c>
      <c r="Y552" t="n">
        <v>128</v>
      </c>
      <c r="Z552" t="n">
        <v>112</v>
      </c>
      <c r="AA552" t="n">
        <v>133</v>
      </c>
      <c r="AB552" t="n">
        <v>2</v>
      </c>
      <c r="AC552" t="n">
        <v>3</v>
      </c>
      <c r="AD552" t="n">
        <v>3</v>
      </c>
      <c r="AE552" t="n">
        <v>5</v>
      </c>
      <c r="AF552" t="n">
        <v>1</v>
      </c>
      <c r="AG552" t="n">
        <v>1</v>
      </c>
      <c r="AH552" t="n">
        <v>1</v>
      </c>
      <c r="AI552" t="n">
        <v>2</v>
      </c>
      <c r="AJ552" t="n">
        <v>1</v>
      </c>
      <c r="AK552" t="n">
        <v>2</v>
      </c>
      <c r="AL552" t="n">
        <v>1</v>
      </c>
      <c r="AM552" t="n">
        <v>2</v>
      </c>
      <c r="AN552" t="n">
        <v>0</v>
      </c>
      <c r="AO552" t="n">
        <v>0</v>
      </c>
      <c r="AP552" t="inlineStr">
        <is>
          <t>Yes</t>
        </is>
      </c>
      <c r="AQ552" t="inlineStr">
        <is>
          <t>Yes</t>
        </is>
      </c>
      <c r="AR552">
        <f>HYPERLINK("http://catalog.hathitrust.org/Record/008863082","HathiTrust Record")</f>
        <v/>
      </c>
      <c r="AS552">
        <f>HYPERLINK("https://creighton-primo.hosted.exlibrisgroup.com/primo-explore/search?tab=default_tab&amp;search_scope=EVERYTHING&amp;vid=01CRU&amp;lang=en_US&amp;offset=0&amp;query=any,contains,991005355859702656","Catalog Record")</f>
        <v/>
      </c>
      <c r="AT552">
        <f>HYPERLINK("http://www.worldcat.org/oclc/558189","WorldCat Record")</f>
        <v/>
      </c>
      <c r="AU552" t="inlineStr">
        <is>
          <t>61486993:ger</t>
        </is>
      </c>
      <c r="AV552" t="inlineStr">
        <is>
          <t>558189</t>
        </is>
      </c>
      <c r="AW552" t="inlineStr">
        <is>
          <t>991005355859702656</t>
        </is>
      </c>
      <c r="AX552" t="inlineStr">
        <is>
          <t>991005355859702656</t>
        </is>
      </c>
      <c r="AY552" t="inlineStr">
        <is>
          <t>2258196550002656</t>
        </is>
      </c>
      <c r="AZ552" t="inlineStr">
        <is>
          <t>BOOK</t>
        </is>
      </c>
      <c r="BC552" t="inlineStr">
        <is>
          <t>32285002793197</t>
        </is>
      </c>
      <c r="BD552" t="inlineStr">
        <is>
          <t>893720229</t>
        </is>
      </c>
    </row>
    <row r="553">
      <c r="A553" t="inlineStr">
        <is>
          <t>No</t>
        </is>
      </c>
      <c r="B553" t="inlineStr">
        <is>
          <t>QD251 .B4</t>
        </is>
      </c>
      <c r="C553" t="inlineStr">
        <is>
          <t>0                      QD 0251000B  4</t>
        </is>
      </c>
      <c r="D553" t="inlineStr">
        <is>
          <t>Handbuch der organischen Chemie.</t>
        </is>
      </c>
      <c r="E553" t="inlineStr">
        <is>
          <t>V.8</t>
        </is>
      </c>
      <c r="F553" t="inlineStr">
        <is>
          <t>Yes</t>
        </is>
      </c>
      <c r="G553" t="inlineStr">
        <is>
          <t>1</t>
        </is>
      </c>
      <c r="H553" t="inlineStr">
        <is>
          <t>No</t>
        </is>
      </c>
      <c r="I553" t="inlineStr">
        <is>
          <t>No</t>
        </is>
      </c>
      <c r="J553" t="inlineStr">
        <is>
          <t>0</t>
        </is>
      </c>
      <c r="K553" t="inlineStr">
        <is>
          <t>Beilstein, Friedrich Konrad, 1838-1906.</t>
        </is>
      </c>
      <c r="L553" t="inlineStr">
        <is>
          <t>Berlin, J.Springer, 1918-40.</t>
        </is>
      </c>
      <c r="M553" t="inlineStr">
        <is>
          <t>1918</t>
        </is>
      </c>
      <c r="N553" t="inlineStr">
        <is>
          <t>4. Aufl.</t>
        </is>
      </c>
      <c r="O553" t="inlineStr">
        <is>
          <t>ger</t>
        </is>
      </c>
      <c r="P553" t="inlineStr">
        <is>
          <t xml:space="preserve">xx </t>
        </is>
      </c>
      <c r="R553" t="inlineStr">
        <is>
          <t xml:space="preserve">QD </t>
        </is>
      </c>
      <c r="S553" t="n">
        <v>1</v>
      </c>
      <c r="T553" t="n">
        <v>33</v>
      </c>
      <c r="U553" t="inlineStr">
        <is>
          <t>1998-07-27</t>
        </is>
      </c>
      <c r="V553" t="inlineStr">
        <is>
          <t>1998-07-27</t>
        </is>
      </c>
      <c r="W553" t="inlineStr">
        <is>
          <t>1997-06-10</t>
        </is>
      </c>
      <c r="X553" t="inlineStr">
        <is>
          <t>1997-06-10</t>
        </is>
      </c>
      <c r="Y553" t="n">
        <v>128</v>
      </c>
      <c r="Z553" t="n">
        <v>112</v>
      </c>
      <c r="AA553" t="n">
        <v>133</v>
      </c>
      <c r="AB553" t="n">
        <v>2</v>
      </c>
      <c r="AC553" t="n">
        <v>3</v>
      </c>
      <c r="AD553" t="n">
        <v>3</v>
      </c>
      <c r="AE553" t="n">
        <v>5</v>
      </c>
      <c r="AF553" t="n">
        <v>1</v>
      </c>
      <c r="AG553" t="n">
        <v>1</v>
      </c>
      <c r="AH553" t="n">
        <v>1</v>
      </c>
      <c r="AI553" t="n">
        <v>2</v>
      </c>
      <c r="AJ553" t="n">
        <v>1</v>
      </c>
      <c r="AK553" t="n">
        <v>2</v>
      </c>
      <c r="AL553" t="n">
        <v>1</v>
      </c>
      <c r="AM553" t="n">
        <v>2</v>
      </c>
      <c r="AN553" t="n">
        <v>0</v>
      </c>
      <c r="AO553" t="n">
        <v>0</v>
      </c>
      <c r="AP553" t="inlineStr">
        <is>
          <t>Yes</t>
        </is>
      </c>
      <c r="AQ553" t="inlineStr">
        <is>
          <t>Yes</t>
        </is>
      </c>
      <c r="AR553">
        <f>HYPERLINK("http://catalog.hathitrust.org/Record/008863082","HathiTrust Record")</f>
        <v/>
      </c>
      <c r="AS553">
        <f>HYPERLINK("https://creighton-primo.hosted.exlibrisgroup.com/primo-explore/search?tab=default_tab&amp;search_scope=EVERYTHING&amp;vid=01CRU&amp;lang=en_US&amp;offset=0&amp;query=any,contains,991005355859702656","Catalog Record")</f>
        <v/>
      </c>
      <c r="AT553">
        <f>HYPERLINK("http://www.worldcat.org/oclc/558189","WorldCat Record")</f>
        <v/>
      </c>
      <c r="AU553" t="inlineStr">
        <is>
          <t>61486993:ger</t>
        </is>
      </c>
      <c r="AV553" t="inlineStr">
        <is>
          <t>558189</t>
        </is>
      </c>
      <c r="AW553" t="inlineStr">
        <is>
          <t>991005355859702656</t>
        </is>
      </c>
      <c r="AX553" t="inlineStr">
        <is>
          <t>991005355859702656</t>
        </is>
      </c>
      <c r="AY553" t="inlineStr">
        <is>
          <t>2258196550002656</t>
        </is>
      </c>
      <c r="AZ553" t="inlineStr">
        <is>
          <t>BOOK</t>
        </is>
      </c>
      <c r="BC553" t="inlineStr">
        <is>
          <t>32285002792975</t>
        </is>
      </c>
      <c r="BD553" t="inlineStr">
        <is>
          <t>893701434</t>
        </is>
      </c>
    </row>
    <row r="554">
      <c r="A554" t="inlineStr">
        <is>
          <t>No</t>
        </is>
      </c>
      <c r="B554" t="inlineStr">
        <is>
          <t>QD251 .B41 1938</t>
        </is>
      </c>
      <c r="C554" t="inlineStr">
        <is>
          <t>0                      QD 0251000B  41          1938</t>
        </is>
      </c>
      <c r="D554" t="inlineStr">
        <is>
          <t>A brief introduction to the use of Beilstein's Handbuch der organischen chemie, by Ernest Hamlin Huntress ...</t>
        </is>
      </c>
      <c r="F554" t="inlineStr">
        <is>
          <t>No</t>
        </is>
      </c>
      <c r="G554" t="inlineStr">
        <is>
          <t>1</t>
        </is>
      </c>
      <c r="H554" t="inlineStr">
        <is>
          <t>No</t>
        </is>
      </c>
      <c r="I554" t="inlineStr">
        <is>
          <t>No</t>
        </is>
      </c>
      <c r="J554" t="inlineStr">
        <is>
          <t>0</t>
        </is>
      </c>
      <c r="K554" t="inlineStr">
        <is>
          <t>Huntress, Ernest Hamlin, 1898-</t>
        </is>
      </c>
      <c r="L554" t="inlineStr">
        <is>
          <t>New York, J. Wiley &amp; sons, inc.; London, Chapman &amp; Hall, limited, 1938.</t>
        </is>
      </c>
      <c r="M554" t="inlineStr">
        <is>
          <t>1938</t>
        </is>
      </c>
      <c r="N554" t="inlineStr">
        <is>
          <t>2d ed., rev.</t>
        </is>
      </c>
      <c r="O554" t="inlineStr">
        <is>
          <t>eng</t>
        </is>
      </c>
      <c r="P554" t="inlineStr">
        <is>
          <t>nyu</t>
        </is>
      </c>
      <c r="R554" t="inlineStr">
        <is>
          <t xml:space="preserve">QD </t>
        </is>
      </c>
      <c r="S554" t="n">
        <v>1</v>
      </c>
      <c r="T554" t="n">
        <v>1</v>
      </c>
      <c r="U554" t="inlineStr">
        <is>
          <t>1998-07-27</t>
        </is>
      </c>
      <c r="V554" t="inlineStr">
        <is>
          <t>1998-07-27</t>
        </is>
      </c>
      <c r="W554" t="inlineStr">
        <is>
          <t>1997-06-10</t>
        </is>
      </c>
      <c r="X554" t="inlineStr">
        <is>
          <t>1997-06-10</t>
        </is>
      </c>
      <c r="Y554" t="n">
        <v>289</v>
      </c>
      <c r="Z554" t="n">
        <v>263</v>
      </c>
      <c r="AA554" t="n">
        <v>373</v>
      </c>
      <c r="AB554" t="n">
        <v>5</v>
      </c>
      <c r="AC554" t="n">
        <v>5</v>
      </c>
      <c r="AD554" t="n">
        <v>14</v>
      </c>
      <c r="AE554" t="n">
        <v>18</v>
      </c>
      <c r="AF554" t="n">
        <v>5</v>
      </c>
      <c r="AG554" t="n">
        <v>7</v>
      </c>
      <c r="AH554" t="n">
        <v>0</v>
      </c>
      <c r="AI554" t="n">
        <v>1</v>
      </c>
      <c r="AJ554" t="n">
        <v>6</v>
      </c>
      <c r="AK554" t="n">
        <v>8</v>
      </c>
      <c r="AL554" t="n">
        <v>4</v>
      </c>
      <c r="AM554" t="n">
        <v>4</v>
      </c>
      <c r="AN554" t="n">
        <v>0</v>
      </c>
      <c r="AO554" t="n">
        <v>0</v>
      </c>
      <c r="AP554" t="inlineStr">
        <is>
          <t>No</t>
        </is>
      </c>
      <c r="AQ554" t="inlineStr">
        <is>
          <t>Yes</t>
        </is>
      </c>
      <c r="AR554">
        <f>HYPERLINK("http://catalog.hathitrust.org/Record/001420925","HathiTrust Record")</f>
        <v/>
      </c>
      <c r="AS554">
        <f>HYPERLINK("https://creighton-primo.hosted.exlibrisgroup.com/primo-explore/search?tab=default_tab&amp;search_scope=EVERYTHING&amp;vid=01CRU&amp;lang=en_US&amp;offset=0&amp;query=any,contains,991005355799702656","Catalog Record")</f>
        <v/>
      </c>
      <c r="AT554">
        <f>HYPERLINK("http://www.worldcat.org/oclc/542442","WorldCat Record")</f>
        <v/>
      </c>
      <c r="AU554" t="inlineStr">
        <is>
          <t>1571623:eng</t>
        </is>
      </c>
      <c r="AV554" t="inlineStr">
        <is>
          <t>542442</t>
        </is>
      </c>
      <c r="AW554" t="inlineStr">
        <is>
          <t>991005355799702656</t>
        </is>
      </c>
      <c r="AX554" t="inlineStr">
        <is>
          <t>991005355799702656</t>
        </is>
      </c>
      <c r="AY554" t="inlineStr">
        <is>
          <t>2266663000002656</t>
        </is>
      </c>
      <c r="AZ554" t="inlineStr">
        <is>
          <t>BOOK</t>
        </is>
      </c>
      <c r="BC554" t="inlineStr">
        <is>
          <t>32285002793239</t>
        </is>
      </c>
      <c r="BD554" t="inlineStr">
        <is>
          <t>893248777</t>
        </is>
      </c>
    </row>
    <row r="555">
      <c r="A555" t="inlineStr">
        <is>
          <t>No</t>
        </is>
      </c>
      <c r="B555" t="inlineStr">
        <is>
          <t>QD251 .B412</t>
        </is>
      </c>
      <c r="C555" t="inlineStr">
        <is>
          <t>0                      QD 0251000B  412</t>
        </is>
      </c>
      <c r="D555" t="inlineStr">
        <is>
          <t>A programmed guide to Beilstein's Handbuch / by Olaf Runquist.</t>
        </is>
      </c>
      <c r="F555" t="inlineStr">
        <is>
          <t>No</t>
        </is>
      </c>
      <c r="G555" t="inlineStr">
        <is>
          <t>1</t>
        </is>
      </c>
      <c r="H555" t="inlineStr">
        <is>
          <t>No</t>
        </is>
      </c>
      <c r="I555" t="inlineStr">
        <is>
          <t>No</t>
        </is>
      </c>
      <c r="J555" t="inlineStr">
        <is>
          <t>0</t>
        </is>
      </c>
      <c r="K555" t="inlineStr">
        <is>
          <t>Runquist, Olaf Allan.</t>
        </is>
      </c>
      <c r="L555" t="inlineStr">
        <is>
          <t>Minneapolis, Burgess Publishing Co. [1966]</t>
        </is>
      </c>
      <c r="M555" t="inlineStr">
        <is>
          <t>1966</t>
        </is>
      </c>
      <c r="O555" t="inlineStr">
        <is>
          <t>eng</t>
        </is>
      </c>
      <c r="P555" t="inlineStr">
        <is>
          <t>miu</t>
        </is>
      </c>
      <c r="R555" t="inlineStr">
        <is>
          <t xml:space="preserve">QD </t>
        </is>
      </c>
      <c r="S555" t="n">
        <v>1</v>
      </c>
      <c r="T555" t="n">
        <v>1</v>
      </c>
      <c r="U555" t="inlineStr">
        <is>
          <t>1998-07-27</t>
        </is>
      </c>
      <c r="V555" t="inlineStr">
        <is>
          <t>1998-07-27</t>
        </is>
      </c>
      <c r="W555" t="inlineStr">
        <is>
          <t>1997-06-10</t>
        </is>
      </c>
      <c r="X555" t="inlineStr">
        <is>
          <t>1997-06-10</t>
        </is>
      </c>
      <c r="Y555" t="n">
        <v>241</v>
      </c>
      <c r="Z555" t="n">
        <v>213</v>
      </c>
      <c r="AA555" t="n">
        <v>218</v>
      </c>
      <c r="AB555" t="n">
        <v>2</v>
      </c>
      <c r="AC555" t="n">
        <v>2</v>
      </c>
      <c r="AD555" t="n">
        <v>8</v>
      </c>
      <c r="AE555" t="n">
        <v>9</v>
      </c>
      <c r="AF555" t="n">
        <v>2</v>
      </c>
      <c r="AG555" t="n">
        <v>3</v>
      </c>
      <c r="AH555" t="n">
        <v>1</v>
      </c>
      <c r="AI555" t="n">
        <v>1</v>
      </c>
      <c r="AJ555" t="n">
        <v>6</v>
      </c>
      <c r="AK555" t="n">
        <v>6</v>
      </c>
      <c r="AL555" t="n">
        <v>1</v>
      </c>
      <c r="AM555" t="n">
        <v>1</v>
      </c>
      <c r="AN555" t="n">
        <v>0</v>
      </c>
      <c r="AO555" t="n">
        <v>0</v>
      </c>
      <c r="AP555" t="inlineStr">
        <is>
          <t>No</t>
        </is>
      </c>
      <c r="AQ555" t="inlineStr">
        <is>
          <t>No</t>
        </is>
      </c>
      <c r="AS555">
        <f>HYPERLINK("https://creighton-primo.hosted.exlibrisgroup.com/primo-explore/search?tab=default_tab&amp;search_scope=EVERYTHING&amp;vid=01CRU&amp;lang=en_US&amp;offset=0&amp;query=any,contains,991005407009702656","Catalog Record")</f>
        <v/>
      </c>
      <c r="AT555">
        <f>HYPERLINK("http://www.worldcat.org/oclc/14014855","WorldCat Record")</f>
        <v/>
      </c>
      <c r="AU555" t="inlineStr">
        <is>
          <t>7119469:eng</t>
        </is>
      </c>
      <c r="AV555" t="inlineStr">
        <is>
          <t>14014855</t>
        </is>
      </c>
      <c r="AW555" t="inlineStr">
        <is>
          <t>991005407009702656</t>
        </is>
      </c>
      <c r="AX555" t="inlineStr">
        <is>
          <t>991005407009702656</t>
        </is>
      </c>
      <c r="AY555" t="inlineStr">
        <is>
          <t>2257297830002656</t>
        </is>
      </c>
      <c r="AZ555" t="inlineStr">
        <is>
          <t>BOOK</t>
        </is>
      </c>
      <c r="BC555" t="inlineStr">
        <is>
          <t>32285002793247</t>
        </is>
      </c>
      <c r="BD555" t="inlineStr">
        <is>
          <t>893527569</t>
        </is>
      </c>
    </row>
    <row r="556">
      <c r="A556" t="inlineStr">
        <is>
          <t>No</t>
        </is>
      </c>
      <c r="B556" t="inlineStr">
        <is>
          <t>QD251 .B42</t>
        </is>
      </c>
      <c r="C556" t="inlineStr">
        <is>
          <t>0                      QD 0251000B  42</t>
        </is>
      </c>
      <c r="D556" t="inlineStr">
        <is>
          <t>Handbuch der organischen Chemie. Erstes Ergänzungswerk, die Literatur von 1910-1919 umfassend. Hrsg. von der Deutschen Chimeschen Gesellschaft. Bearb. von Friedrich Richter. 1.-27. Bd. als Ergänzung des 1.-27. Bandes des Hauptwerkes.</t>
        </is>
      </c>
      <c r="E556" t="inlineStr">
        <is>
          <t>V.13-14</t>
        </is>
      </c>
      <c r="F556" t="inlineStr">
        <is>
          <t>Yes</t>
        </is>
      </c>
      <c r="G556" t="inlineStr">
        <is>
          <t>1</t>
        </is>
      </c>
      <c r="H556" t="inlineStr">
        <is>
          <t>No</t>
        </is>
      </c>
      <c r="I556" t="inlineStr">
        <is>
          <t>Yes</t>
        </is>
      </c>
      <c r="J556" t="inlineStr">
        <is>
          <t>0</t>
        </is>
      </c>
      <c r="K556" t="inlineStr">
        <is>
          <t>Beilstein, Friedrich Konrad, 1838-1906.</t>
        </is>
      </c>
      <c r="L556" t="inlineStr">
        <is>
          <t>Berlin, J. Springer, 1928-1938.</t>
        </is>
      </c>
      <c r="M556" t="inlineStr">
        <is>
          <t>1928</t>
        </is>
      </c>
      <c r="N556" t="inlineStr">
        <is>
          <t>4. Aufl.</t>
        </is>
      </c>
      <c r="O556" t="inlineStr">
        <is>
          <t>ger</t>
        </is>
      </c>
      <c r="P556" t="inlineStr">
        <is>
          <t xml:space="preserve">gw </t>
        </is>
      </c>
      <c r="R556" t="inlineStr">
        <is>
          <t xml:space="preserve">QD </t>
        </is>
      </c>
      <c r="S556" t="n">
        <v>1</v>
      </c>
      <c r="T556" t="n">
        <v>15</v>
      </c>
      <c r="U556" t="inlineStr">
        <is>
          <t>1998-07-27</t>
        </is>
      </c>
      <c r="V556" t="inlineStr">
        <is>
          <t>1998-07-27</t>
        </is>
      </c>
      <c r="W556" t="inlineStr">
        <is>
          <t>1997-06-10</t>
        </is>
      </c>
      <c r="X556" t="inlineStr">
        <is>
          <t>1997-06-10</t>
        </is>
      </c>
      <c r="Y556" t="n">
        <v>58</v>
      </c>
      <c r="Z556" t="n">
        <v>53</v>
      </c>
      <c r="AA556" t="n">
        <v>142</v>
      </c>
      <c r="AB556" t="n">
        <v>1</v>
      </c>
      <c r="AC556" t="n">
        <v>2</v>
      </c>
      <c r="AD556" t="n">
        <v>1</v>
      </c>
      <c r="AE556" t="n">
        <v>3</v>
      </c>
      <c r="AF556" t="n">
        <v>0</v>
      </c>
      <c r="AG556" t="n">
        <v>0</v>
      </c>
      <c r="AH556" t="n">
        <v>1</v>
      </c>
      <c r="AI556" t="n">
        <v>2</v>
      </c>
      <c r="AJ556" t="n">
        <v>0</v>
      </c>
      <c r="AK556" t="n">
        <v>1</v>
      </c>
      <c r="AL556" t="n">
        <v>0</v>
      </c>
      <c r="AM556" t="n">
        <v>1</v>
      </c>
      <c r="AN556" t="n">
        <v>0</v>
      </c>
      <c r="AO556" t="n">
        <v>0</v>
      </c>
      <c r="AP556" t="inlineStr">
        <is>
          <t>No</t>
        </is>
      </c>
      <c r="AQ556" t="inlineStr">
        <is>
          <t>Yes</t>
        </is>
      </c>
      <c r="AR556">
        <f>HYPERLINK("http://catalog.hathitrust.org/Record/009210423","HathiTrust Record")</f>
        <v/>
      </c>
      <c r="AS556">
        <f>HYPERLINK("https://creighton-primo.hosted.exlibrisgroup.com/primo-explore/search?tab=default_tab&amp;search_scope=EVERYTHING&amp;vid=01CRU&amp;lang=en_US&amp;offset=0&amp;query=any,contains,991005408869702656","Catalog Record")</f>
        <v/>
      </c>
      <c r="AT556">
        <f>HYPERLINK("http://www.worldcat.org/oclc/17399059","WorldCat Record")</f>
        <v/>
      </c>
      <c r="AU556" t="inlineStr">
        <is>
          <t>4163096116:ger</t>
        </is>
      </c>
      <c r="AV556" t="inlineStr">
        <is>
          <t>17399059</t>
        </is>
      </c>
      <c r="AW556" t="inlineStr">
        <is>
          <t>991005408869702656</t>
        </is>
      </c>
      <c r="AX556" t="inlineStr">
        <is>
          <t>991005408869702656</t>
        </is>
      </c>
      <c r="AY556" t="inlineStr">
        <is>
          <t>2255433410002656</t>
        </is>
      </c>
      <c r="AZ556" t="inlineStr">
        <is>
          <t>BOOK</t>
        </is>
      </c>
      <c r="BC556" t="inlineStr">
        <is>
          <t>32285002793346</t>
        </is>
      </c>
      <c r="BD556" t="inlineStr">
        <is>
          <t>893533801</t>
        </is>
      </c>
    </row>
    <row r="557">
      <c r="A557" t="inlineStr">
        <is>
          <t>No</t>
        </is>
      </c>
      <c r="B557" t="inlineStr">
        <is>
          <t>QD251 .B42</t>
        </is>
      </c>
      <c r="C557" t="inlineStr">
        <is>
          <t>0                      QD 0251000B  42</t>
        </is>
      </c>
      <c r="D557" t="inlineStr">
        <is>
          <t>Handbuch der organischen Chemie. Erstes Ergänzungswerk, die Literatur von 1910-1919 umfassend. Hrsg. von der Deutschen Chimeschen Gesellschaft. Bearb. von Friedrich Richter. 1.-27. Bd. als Ergänzung des 1.-27. Bandes des Hauptwerkes.</t>
        </is>
      </c>
      <c r="E557" t="inlineStr">
        <is>
          <t>V.9</t>
        </is>
      </c>
      <c r="F557" t="inlineStr">
        <is>
          <t>Yes</t>
        </is>
      </c>
      <c r="G557" t="inlineStr">
        <is>
          <t>1</t>
        </is>
      </c>
      <c r="H557" t="inlineStr">
        <is>
          <t>No</t>
        </is>
      </c>
      <c r="I557" t="inlineStr">
        <is>
          <t>Yes</t>
        </is>
      </c>
      <c r="J557" t="inlineStr">
        <is>
          <t>0</t>
        </is>
      </c>
      <c r="K557" t="inlineStr">
        <is>
          <t>Beilstein, Friedrich Konrad, 1838-1906.</t>
        </is>
      </c>
      <c r="L557" t="inlineStr">
        <is>
          <t>Berlin, J. Springer, 1928-1938.</t>
        </is>
      </c>
      <c r="M557" t="inlineStr">
        <is>
          <t>1928</t>
        </is>
      </c>
      <c r="N557" t="inlineStr">
        <is>
          <t>4. Aufl.</t>
        </is>
      </c>
      <c r="O557" t="inlineStr">
        <is>
          <t>ger</t>
        </is>
      </c>
      <c r="P557" t="inlineStr">
        <is>
          <t xml:space="preserve">gw </t>
        </is>
      </c>
      <c r="R557" t="inlineStr">
        <is>
          <t xml:space="preserve">QD </t>
        </is>
      </c>
      <c r="S557" t="n">
        <v>1</v>
      </c>
      <c r="T557" t="n">
        <v>15</v>
      </c>
      <c r="U557" t="inlineStr">
        <is>
          <t>1998-07-27</t>
        </is>
      </c>
      <c r="V557" t="inlineStr">
        <is>
          <t>1998-07-27</t>
        </is>
      </c>
      <c r="W557" t="inlineStr">
        <is>
          <t>1997-06-10</t>
        </is>
      </c>
      <c r="X557" t="inlineStr">
        <is>
          <t>1997-06-10</t>
        </is>
      </c>
      <c r="Y557" t="n">
        <v>58</v>
      </c>
      <c r="Z557" t="n">
        <v>53</v>
      </c>
      <c r="AA557" t="n">
        <v>142</v>
      </c>
      <c r="AB557" t="n">
        <v>1</v>
      </c>
      <c r="AC557" t="n">
        <v>2</v>
      </c>
      <c r="AD557" t="n">
        <v>1</v>
      </c>
      <c r="AE557" t="n">
        <v>3</v>
      </c>
      <c r="AF557" t="n">
        <v>0</v>
      </c>
      <c r="AG557" t="n">
        <v>0</v>
      </c>
      <c r="AH557" t="n">
        <v>1</v>
      </c>
      <c r="AI557" t="n">
        <v>2</v>
      </c>
      <c r="AJ557" t="n">
        <v>0</v>
      </c>
      <c r="AK557" t="n">
        <v>1</v>
      </c>
      <c r="AL557" t="n">
        <v>0</v>
      </c>
      <c r="AM557" t="n">
        <v>1</v>
      </c>
      <c r="AN557" t="n">
        <v>0</v>
      </c>
      <c r="AO557" t="n">
        <v>0</v>
      </c>
      <c r="AP557" t="inlineStr">
        <is>
          <t>No</t>
        </is>
      </c>
      <c r="AQ557" t="inlineStr">
        <is>
          <t>Yes</t>
        </is>
      </c>
      <c r="AR557">
        <f>HYPERLINK("http://catalog.hathitrust.org/Record/009210423","HathiTrust Record")</f>
        <v/>
      </c>
      <c r="AS557">
        <f>HYPERLINK("https://creighton-primo.hosted.exlibrisgroup.com/primo-explore/search?tab=default_tab&amp;search_scope=EVERYTHING&amp;vid=01CRU&amp;lang=en_US&amp;offset=0&amp;query=any,contains,991005408869702656","Catalog Record")</f>
        <v/>
      </c>
      <c r="AT557">
        <f>HYPERLINK("http://www.worldcat.org/oclc/17399059","WorldCat Record")</f>
        <v/>
      </c>
      <c r="AU557" t="inlineStr">
        <is>
          <t>4163096116:ger</t>
        </is>
      </c>
      <c r="AV557" t="inlineStr">
        <is>
          <t>17399059</t>
        </is>
      </c>
      <c r="AW557" t="inlineStr">
        <is>
          <t>991005408869702656</t>
        </is>
      </c>
      <c r="AX557" t="inlineStr">
        <is>
          <t>991005408869702656</t>
        </is>
      </c>
      <c r="AY557" t="inlineStr">
        <is>
          <t>2255433410002656</t>
        </is>
      </c>
      <c r="AZ557" t="inlineStr">
        <is>
          <t>BOOK</t>
        </is>
      </c>
      <c r="BC557" t="inlineStr">
        <is>
          <t>32285002793312</t>
        </is>
      </c>
      <c r="BD557" t="inlineStr">
        <is>
          <t>893533802</t>
        </is>
      </c>
    </row>
    <row r="558">
      <c r="A558" t="inlineStr">
        <is>
          <t>No</t>
        </is>
      </c>
      <c r="B558" t="inlineStr">
        <is>
          <t>QD251 .B42</t>
        </is>
      </c>
      <c r="C558" t="inlineStr">
        <is>
          <t>0                      QD 0251000B  42</t>
        </is>
      </c>
      <c r="D558" t="inlineStr">
        <is>
          <t>Handbuch der organischen Chemie. Erstes Ergänzungswerk, die Literatur von 1910-1919 umfassend. Hrsg. von der Deutschen Chimeschen Gesellschaft. Bearb. von Friedrich Richter. 1.-27. Bd. als Ergänzung des 1.-27. Bandes des Hauptwerkes.</t>
        </is>
      </c>
      <c r="E558" t="inlineStr">
        <is>
          <t>V.10</t>
        </is>
      </c>
      <c r="F558" t="inlineStr">
        <is>
          <t>Yes</t>
        </is>
      </c>
      <c r="G558" t="inlineStr">
        <is>
          <t>1</t>
        </is>
      </c>
      <c r="H558" t="inlineStr">
        <is>
          <t>No</t>
        </is>
      </c>
      <c r="I558" t="inlineStr">
        <is>
          <t>Yes</t>
        </is>
      </c>
      <c r="J558" t="inlineStr">
        <is>
          <t>0</t>
        </is>
      </c>
      <c r="K558" t="inlineStr">
        <is>
          <t>Beilstein, Friedrich Konrad, 1838-1906.</t>
        </is>
      </c>
      <c r="L558" t="inlineStr">
        <is>
          <t>Berlin, J. Springer, 1928-1938.</t>
        </is>
      </c>
      <c r="M558" t="inlineStr">
        <is>
          <t>1928</t>
        </is>
      </c>
      <c r="N558" t="inlineStr">
        <is>
          <t>4. Aufl.</t>
        </is>
      </c>
      <c r="O558" t="inlineStr">
        <is>
          <t>ger</t>
        </is>
      </c>
      <c r="P558" t="inlineStr">
        <is>
          <t xml:space="preserve">gw </t>
        </is>
      </c>
      <c r="R558" t="inlineStr">
        <is>
          <t xml:space="preserve">QD </t>
        </is>
      </c>
      <c r="S558" t="n">
        <v>1</v>
      </c>
      <c r="T558" t="n">
        <v>15</v>
      </c>
      <c r="U558" t="inlineStr">
        <is>
          <t>1998-07-27</t>
        </is>
      </c>
      <c r="V558" t="inlineStr">
        <is>
          <t>1998-07-27</t>
        </is>
      </c>
      <c r="W558" t="inlineStr">
        <is>
          <t>1997-06-10</t>
        </is>
      </c>
      <c r="X558" t="inlineStr">
        <is>
          <t>1997-06-10</t>
        </is>
      </c>
      <c r="Y558" t="n">
        <v>58</v>
      </c>
      <c r="Z558" t="n">
        <v>53</v>
      </c>
      <c r="AA558" t="n">
        <v>142</v>
      </c>
      <c r="AB558" t="n">
        <v>1</v>
      </c>
      <c r="AC558" t="n">
        <v>2</v>
      </c>
      <c r="AD558" t="n">
        <v>1</v>
      </c>
      <c r="AE558" t="n">
        <v>3</v>
      </c>
      <c r="AF558" t="n">
        <v>0</v>
      </c>
      <c r="AG558" t="n">
        <v>0</v>
      </c>
      <c r="AH558" t="n">
        <v>1</v>
      </c>
      <c r="AI558" t="n">
        <v>2</v>
      </c>
      <c r="AJ558" t="n">
        <v>0</v>
      </c>
      <c r="AK558" t="n">
        <v>1</v>
      </c>
      <c r="AL558" t="n">
        <v>0</v>
      </c>
      <c r="AM558" t="n">
        <v>1</v>
      </c>
      <c r="AN558" t="n">
        <v>0</v>
      </c>
      <c r="AO558" t="n">
        <v>0</v>
      </c>
      <c r="AP558" t="inlineStr">
        <is>
          <t>No</t>
        </is>
      </c>
      <c r="AQ558" t="inlineStr">
        <is>
          <t>Yes</t>
        </is>
      </c>
      <c r="AR558">
        <f>HYPERLINK("http://catalog.hathitrust.org/Record/009210423","HathiTrust Record")</f>
        <v/>
      </c>
      <c r="AS558">
        <f>HYPERLINK("https://creighton-primo.hosted.exlibrisgroup.com/primo-explore/search?tab=default_tab&amp;search_scope=EVERYTHING&amp;vid=01CRU&amp;lang=en_US&amp;offset=0&amp;query=any,contains,991005408869702656","Catalog Record")</f>
        <v/>
      </c>
      <c r="AT558">
        <f>HYPERLINK("http://www.worldcat.org/oclc/17399059","WorldCat Record")</f>
        <v/>
      </c>
      <c r="AU558" t="inlineStr">
        <is>
          <t>4163096116:ger</t>
        </is>
      </c>
      <c r="AV558" t="inlineStr">
        <is>
          <t>17399059</t>
        </is>
      </c>
      <c r="AW558" t="inlineStr">
        <is>
          <t>991005408869702656</t>
        </is>
      </c>
      <c r="AX558" t="inlineStr">
        <is>
          <t>991005408869702656</t>
        </is>
      </c>
      <c r="AY558" t="inlineStr">
        <is>
          <t>2255433410002656</t>
        </is>
      </c>
      <c r="AZ558" t="inlineStr">
        <is>
          <t>BOOK</t>
        </is>
      </c>
      <c r="BC558" t="inlineStr">
        <is>
          <t>32285002793320</t>
        </is>
      </c>
      <c r="BD558" t="inlineStr">
        <is>
          <t>893521149</t>
        </is>
      </c>
    </row>
    <row r="559">
      <c r="A559" t="inlineStr">
        <is>
          <t>No</t>
        </is>
      </c>
      <c r="B559" t="inlineStr">
        <is>
          <t>QD251 .B42</t>
        </is>
      </c>
      <c r="C559" t="inlineStr">
        <is>
          <t>0                      QD 0251000B  42</t>
        </is>
      </c>
      <c r="D559" t="inlineStr">
        <is>
          <t>Handbuch der organischen Chemie. Erstes Ergänzungswerk, die Literatur von 1910-1919 umfassend. Hrsg. von der Deutschen Chimeschen Gesellschaft. Bearb. von Friedrich Richter. 1.-27. Bd. als Ergänzung des 1.-27. Bandes des Hauptwerkes.</t>
        </is>
      </c>
      <c r="E559" t="inlineStr">
        <is>
          <t>V.15-16</t>
        </is>
      </c>
      <c r="F559" t="inlineStr">
        <is>
          <t>Yes</t>
        </is>
      </c>
      <c r="G559" t="inlineStr">
        <is>
          <t>1</t>
        </is>
      </c>
      <c r="H559" t="inlineStr">
        <is>
          <t>No</t>
        </is>
      </c>
      <c r="I559" t="inlineStr">
        <is>
          <t>Yes</t>
        </is>
      </c>
      <c r="J559" t="inlineStr">
        <is>
          <t>0</t>
        </is>
      </c>
      <c r="K559" t="inlineStr">
        <is>
          <t>Beilstein, Friedrich Konrad, 1838-1906.</t>
        </is>
      </c>
      <c r="L559" t="inlineStr">
        <is>
          <t>Berlin, J. Springer, 1928-1938.</t>
        </is>
      </c>
      <c r="M559" t="inlineStr">
        <is>
          <t>1928</t>
        </is>
      </c>
      <c r="N559" t="inlineStr">
        <is>
          <t>4. Aufl.</t>
        </is>
      </c>
      <c r="O559" t="inlineStr">
        <is>
          <t>ger</t>
        </is>
      </c>
      <c r="P559" t="inlineStr">
        <is>
          <t xml:space="preserve">gw </t>
        </is>
      </c>
      <c r="R559" t="inlineStr">
        <is>
          <t xml:space="preserve">QD </t>
        </is>
      </c>
      <c r="S559" t="n">
        <v>1</v>
      </c>
      <c r="T559" t="n">
        <v>15</v>
      </c>
      <c r="U559" t="inlineStr">
        <is>
          <t>1998-07-27</t>
        </is>
      </c>
      <c r="V559" t="inlineStr">
        <is>
          <t>1998-07-27</t>
        </is>
      </c>
      <c r="W559" t="inlineStr">
        <is>
          <t>1997-06-10</t>
        </is>
      </c>
      <c r="X559" t="inlineStr">
        <is>
          <t>1997-06-10</t>
        </is>
      </c>
      <c r="Y559" t="n">
        <v>58</v>
      </c>
      <c r="Z559" t="n">
        <v>53</v>
      </c>
      <c r="AA559" t="n">
        <v>142</v>
      </c>
      <c r="AB559" t="n">
        <v>1</v>
      </c>
      <c r="AC559" t="n">
        <v>2</v>
      </c>
      <c r="AD559" t="n">
        <v>1</v>
      </c>
      <c r="AE559" t="n">
        <v>3</v>
      </c>
      <c r="AF559" t="n">
        <v>0</v>
      </c>
      <c r="AG559" t="n">
        <v>0</v>
      </c>
      <c r="AH559" t="n">
        <v>1</v>
      </c>
      <c r="AI559" t="n">
        <v>2</v>
      </c>
      <c r="AJ559" t="n">
        <v>0</v>
      </c>
      <c r="AK559" t="n">
        <v>1</v>
      </c>
      <c r="AL559" t="n">
        <v>0</v>
      </c>
      <c r="AM559" t="n">
        <v>1</v>
      </c>
      <c r="AN559" t="n">
        <v>0</v>
      </c>
      <c r="AO559" t="n">
        <v>0</v>
      </c>
      <c r="AP559" t="inlineStr">
        <is>
          <t>No</t>
        </is>
      </c>
      <c r="AQ559" t="inlineStr">
        <is>
          <t>Yes</t>
        </is>
      </c>
      <c r="AR559">
        <f>HYPERLINK("http://catalog.hathitrust.org/Record/009210423","HathiTrust Record")</f>
        <v/>
      </c>
      <c r="AS559">
        <f>HYPERLINK("https://creighton-primo.hosted.exlibrisgroup.com/primo-explore/search?tab=default_tab&amp;search_scope=EVERYTHING&amp;vid=01CRU&amp;lang=en_US&amp;offset=0&amp;query=any,contains,991005408869702656","Catalog Record")</f>
        <v/>
      </c>
      <c r="AT559">
        <f>HYPERLINK("http://www.worldcat.org/oclc/17399059","WorldCat Record")</f>
        <v/>
      </c>
      <c r="AU559" t="inlineStr">
        <is>
          <t>4163096116:ger</t>
        </is>
      </c>
      <c r="AV559" t="inlineStr">
        <is>
          <t>17399059</t>
        </is>
      </c>
      <c r="AW559" t="inlineStr">
        <is>
          <t>991005408869702656</t>
        </is>
      </c>
      <c r="AX559" t="inlineStr">
        <is>
          <t>991005408869702656</t>
        </is>
      </c>
      <c r="AY559" t="inlineStr">
        <is>
          <t>2255433410002656</t>
        </is>
      </c>
      <c r="AZ559" t="inlineStr">
        <is>
          <t>BOOK</t>
        </is>
      </c>
      <c r="BC559" t="inlineStr">
        <is>
          <t>32285002793353</t>
        </is>
      </c>
      <c r="BD559" t="inlineStr">
        <is>
          <t>893514692</t>
        </is>
      </c>
    </row>
    <row r="560">
      <c r="A560" t="inlineStr">
        <is>
          <t>No</t>
        </is>
      </c>
      <c r="B560" t="inlineStr">
        <is>
          <t>QD251 .B42</t>
        </is>
      </c>
      <c r="C560" t="inlineStr">
        <is>
          <t>0                      QD 0251000B  42</t>
        </is>
      </c>
      <c r="D560" t="inlineStr">
        <is>
          <t>Handbuch der organischen Chemie. Erstes Ergänzungswerk, die Literatur von 1910-1919 umfassend. Hrsg. von der Deutschen Chimeschen Gesellschaft. Bearb. von Friedrich Richter. 1.-27. Bd. als Ergänzung des 1.-27. Bandes des Hauptwerkes.</t>
        </is>
      </c>
      <c r="E560" t="inlineStr">
        <is>
          <t>V.7-8</t>
        </is>
      </c>
      <c r="F560" t="inlineStr">
        <is>
          <t>Yes</t>
        </is>
      </c>
      <c r="G560" t="inlineStr">
        <is>
          <t>1</t>
        </is>
      </c>
      <c r="H560" t="inlineStr">
        <is>
          <t>No</t>
        </is>
      </c>
      <c r="I560" t="inlineStr">
        <is>
          <t>Yes</t>
        </is>
      </c>
      <c r="J560" t="inlineStr">
        <is>
          <t>0</t>
        </is>
      </c>
      <c r="K560" t="inlineStr">
        <is>
          <t>Beilstein, Friedrich Konrad, 1838-1906.</t>
        </is>
      </c>
      <c r="L560" t="inlineStr">
        <is>
          <t>Berlin, J. Springer, 1928-1938.</t>
        </is>
      </c>
      <c r="M560" t="inlineStr">
        <is>
          <t>1928</t>
        </is>
      </c>
      <c r="N560" t="inlineStr">
        <is>
          <t>4. Aufl.</t>
        </is>
      </c>
      <c r="O560" t="inlineStr">
        <is>
          <t>ger</t>
        </is>
      </c>
      <c r="P560" t="inlineStr">
        <is>
          <t xml:space="preserve">gw </t>
        </is>
      </c>
      <c r="R560" t="inlineStr">
        <is>
          <t xml:space="preserve">QD </t>
        </is>
      </c>
      <c r="S560" t="n">
        <v>1</v>
      </c>
      <c r="T560" t="n">
        <v>15</v>
      </c>
      <c r="U560" t="inlineStr">
        <is>
          <t>1998-07-27</t>
        </is>
      </c>
      <c r="V560" t="inlineStr">
        <is>
          <t>1998-07-27</t>
        </is>
      </c>
      <c r="W560" t="inlineStr">
        <is>
          <t>1997-06-10</t>
        </is>
      </c>
      <c r="X560" t="inlineStr">
        <is>
          <t>1997-06-10</t>
        </is>
      </c>
      <c r="Y560" t="n">
        <v>58</v>
      </c>
      <c r="Z560" t="n">
        <v>53</v>
      </c>
      <c r="AA560" t="n">
        <v>142</v>
      </c>
      <c r="AB560" t="n">
        <v>1</v>
      </c>
      <c r="AC560" t="n">
        <v>2</v>
      </c>
      <c r="AD560" t="n">
        <v>1</v>
      </c>
      <c r="AE560" t="n">
        <v>3</v>
      </c>
      <c r="AF560" t="n">
        <v>0</v>
      </c>
      <c r="AG560" t="n">
        <v>0</v>
      </c>
      <c r="AH560" t="n">
        <v>1</v>
      </c>
      <c r="AI560" t="n">
        <v>2</v>
      </c>
      <c r="AJ560" t="n">
        <v>0</v>
      </c>
      <c r="AK560" t="n">
        <v>1</v>
      </c>
      <c r="AL560" t="n">
        <v>0</v>
      </c>
      <c r="AM560" t="n">
        <v>1</v>
      </c>
      <c r="AN560" t="n">
        <v>0</v>
      </c>
      <c r="AO560" t="n">
        <v>0</v>
      </c>
      <c r="AP560" t="inlineStr">
        <is>
          <t>No</t>
        </is>
      </c>
      <c r="AQ560" t="inlineStr">
        <is>
          <t>Yes</t>
        </is>
      </c>
      <c r="AR560">
        <f>HYPERLINK("http://catalog.hathitrust.org/Record/009210423","HathiTrust Record")</f>
        <v/>
      </c>
      <c r="AS560">
        <f>HYPERLINK("https://creighton-primo.hosted.exlibrisgroup.com/primo-explore/search?tab=default_tab&amp;search_scope=EVERYTHING&amp;vid=01CRU&amp;lang=en_US&amp;offset=0&amp;query=any,contains,991005408869702656","Catalog Record")</f>
        <v/>
      </c>
      <c r="AT560">
        <f>HYPERLINK("http://www.worldcat.org/oclc/17399059","WorldCat Record")</f>
        <v/>
      </c>
      <c r="AU560" t="inlineStr">
        <is>
          <t>4163096116:ger</t>
        </is>
      </c>
      <c r="AV560" t="inlineStr">
        <is>
          <t>17399059</t>
        </is>
      </c>
      <c r="AW560" t="inlineStr">
        <is>
          <t>991005408869702656</t>
        </is>
      </c>
      <c r="AX560" t="inlineStr">
        <is>
          <t>991005408869702656</t>
        </is>
      </c>
      <c r="AY560" t="inlineStr">
        <is>
          <t>2255433410002656</t>
        </is>
      </c>
      <c r="AZ560" t="inlineStr">
        <is>
          <t>BOOK</t>
        </is>
      </c>
      <c r="BC560" t="inlineStr">
        <is>
          <t>32285002793304</t>
        </is>
      </c>
      <c r="BD560" t="inlineStr">
        <is>
          <t>893533803</t>
        </is>
      </c>
    </row>
    <row r="561">
      <c r="A561" t="inlineStr">
        <is>
          <t>No</t>
        </is>
      </c>
      <c r="B561" t="inlineStr">
        <is>
          <t>QD251 .B42</t>
        </is>
      </c>
      <c r="C561" t="inlineStr">
        <is>
          <t>0                      QD 0251000B  42</t>
        </is>
      </c>
      <c r="D561" t="inlineStr">
        <is>
          <t>Handbuch der organischen Chemie. Erstes Ergänzungswerk, die Literatur von 1910-1919 umfassend. Hrsg. von der Deutschen Chimeschen Gesellschaft. Bearb. von Friedrich Richter. 1.-27. Bd. als Ergänzung des 1.-27. Bandes des Hauptwerkes.</t>
        </is>
      </c>
      <c r="E561" t="inlineStr">
        <is>
          <t>V.11-12</t>
        </is>
      </c>
      <c r="F561" t="inlineStr">
        <is>
          <t>Yes</t>
        </is>
      </c>
      <c r="G561" t="inlineStr">
        <is>
          <t>1</t>
        </is>
      </c>
      <c r="H561" t="inlineStr">
        <is>
          <t>No</t>
        </is>
      </c>
      <c r="I561" t="inlineStr">
        <is>
          <t>Yes</t>
        </is>
      </c>
      <c r="J561" t="inlineStr">
        <is>
          <t>0</t>
        </is>
      </c>
      <c r="K561" t="inlineStr">
        <is>
          <t>Beilstein, Friedrich Konrad, 1838-1906.</t>
        </is>
      </c>
      <c r="L561" t="inlineStr">
        <is>
          <t>Berlin, J. Springer, 1928-1938.</t>
        </is>
      </c>
      <c r="M561" t="inlineStr">
        <is>
          <t>1928</t>
        </is>
      </c>
      <c r="N561" t="inlineStr">
        <is>
          <t>4. Aufl.</t>
        </is>
      </c>
      <c r="O561" t="inlineStr">
        <is>
          <t>ger</t>
        </is>
      </c>
      <c r="P561" t="inlineStr">
        <is>
          <t xml:space="preserve">gw </t>
        </is>
      </c>
      <c r="R561" t="inlineStr">
        <is>
          <t xml:space="preserve">QD </t>
        </is>
      </c>
      <c r="S561" t="n">
        <v>1</v>
      </c>
      <c r="T561" t="n">
        <v>15</v>
      </c>
      <c r="U561" t="inlineStr">
        <is>
          <t>1998-07-27</t>
        </is>
      </c>
      <c r="V561" t="inlineStr">
        <is>
          <t>1998-07-27</t>
        </is>
      </c>
      <c r="W561" t="inlineStr">
        <is>
          <t>1997-06-10</t>
        </is>
      </c>
      <c r="X561" t="inlineStr">
        <is>
          <t>1997-06-10</t>
        </is>
      </c>
      <c r="Y561" t="n">
        <v>58</v>
      </c>
      <c r="Z561" t="n">
        <v>53</v>
      </c>
      <c r="AA561" t="n">
        <v>142</v>
      </c>
      <c r="AB561" t="n">
        <v>1</v>
      </c>
      <c r="AC561" t="n">
        <v>2</v>
      </c>
      <c r="AD561" t="n">
        <v>1</v>
      </c>
      <c r="AE561" t="n">
        <v>3</v>
      </c>
      <c r="AF561" t="n">
        <v>0</v>
      </c>
      <c r="AG561" t="n">
        <v>0</v>
      </c>
      <c r="AH561" t="n">
        <v>1</v>
      </c>
      <c r="AI561" t="n">
        <v>2</v>
      </c>
      <c r="AJ561" t="n">
        <v>0</v>
      </c>
      <c r="AK561" t="n">
        <v>1</v>
      </c>
      <c r="AL561" t="n">
        <v>0</v>
      </c>
      <c r="AM561" t="n">
        <v>1</v>
      </c>
      <c r="AN561" t="n">
        <v>0</v>
      </c>
      <c r="AO561" t="n">
        <v>0</v>
      </c>
      <c r="AP561" t="inlineStr">
        <is>
          <t>No</t>
        </is>
      </c>
      <c r="AQ561" t="inlineStr">
        <is>
          <t>Yes</t>
        </is>
      </c>
      <c r="AR561">
        <f>HYPERLINK("http://catalog.hathitrust.org/Record/009210423","HathiTrust Record")</f>
        <v/>
      </c>
      <c r="AS561">
        <f>HYPERLINK("https://creighton-primo.hosted.exlibrisgroup.com/primo-explore/search?tab=default_tab&amp;search_scope=EVERYTHING&amp;vid=01CRU&amp;lang=en_US&amp;offset=0&amp;query=any,contains,991005408869702656","Catalog Record")</f>
        <v/>
      </c>
      <c r="AT561">
        <f>HYPERLINK("http://www.worldcat.org/oclc/17399059","WorldCat Record")</f>
        <v/>
      </c>
      <c r="AU561" t="inlineStr">
        <is>
          <t>4163096116:ger</t>
        </is>
      </c>
      <c r="AV561" t="inlineStr">
        <is>
          <t>17399059</t>
        </is>
      </c>
      <c r="AW561" t="inlineStr">
        <is>
          <t>991005408869702656</t>
        </is>
      </c>
      <c r="AX561" t="inlineStr">
        <is>
          <t>991005408869702656</t>
        </is>
      </c>
      <c r="AY561" t="inlineStr">
        <is>
          <t>2255433410002656</t>
        </is>
      </c>
      <c r="AZ561" t="inlineStr">
        <is>
          <t>BOOK</t>
        </is>
      </c>
      <c r="BC561" t="inlineStr">
        <is>
          <t>32285002793338</t>
        </is>
      </c>
      <c r="BD561" t="inlineStr">
        <is>
          <t>893521148</t>
        </is>
      </c>
    </row>
    <row r="562">
      <c r="A562" t="inlineStr">
        <is>
          <t>No</t>
        </is>
      </c>
      <c r="B562" t="inlineStr">
        <is>
          <t>QD251 .B42</t>
        </is>
      </c>
      <c r="C562" t="inlineStr">
        <is>
          <t>0                      QD 0251000B  42</t>
        </is>
      </c>
      <c r="D562" t="inlineStr">
        <is>
          <t>Handbuch der organischen Chemie. Erstes Ergänzungswerk, die Literatur von 1910-1919 umfassend. Hrsg. von der Deutschen Chimeschen Gesellschaft. Bearb. von Friedrich Richter. 1.-27. Bd. als Ergänzung des 1.-27. Bandes des Hauptwerkes.</t>
        </is>
      </c>
      <c r="E562" t="inlineStr">
        <is>
          <t>V.6</t>
        </is>
      </c>
      <c r="F562" t="inlineStr">
        <is>
          <t>Yes</t>
        </is>
      </c>
      <c r="G562" t="inlineStr">
        <is>
          <t>1</t>
        </is>
      </c>
      <c r="H562" t="inlineStr">
        <is>
          <t>No</t>
        </is>
      </c>
      <c r="I562" t="inlineStr">
        <is>
          <t>Yes</t>
        </is>
      </c>
      <c r="J562" t="inlineStr">
        <is>
          <t>0</t>
        </is>
      </c>
      <c r="K562" t="inlineStr">
        <is>
          <t>Beilstein, Friedrich Konrad, 1838-1906.</t>
        </is>
      </c>
      <c r="L562" t="inlineStr">
        <is>
          <t>Berlin, J. Springer, 1928-1938.</t>
        </is>
      </c>
      <c r="M562" t="inlineStr">
        <is>
          <t>1928</t>
        </is>
      </c>
      <c r="N562" t="inlineStr">
        <is>
          <t>4. Aufl.</t>
        </is>
      </c>
      <c r="O562" t="inlineStr">
        <is>
          <t>ger</t>
        </is>
      </c>
      <c r="P562" t="inlineStr">
        <is>
          <t xml:space="preserve">gw </t>
        </is>
      </c>
      <c r="R562" t="inlineStr">
        <is>
          <t xml:space="preserve">QD </t>
        </is>
      </c>
      <c r="S562" t="n">
        <v>1</v>
      </c>
      <c r="T562" t="n">
        <v>15</v>
      </c>
      <c r="U562" t="inlineStr">
        <is>
          <t>1998-07-27</t>
        </is>
      </c>
      <c r="V562" t="inlineStr">
        <is>
          <t>1998-07-27</t>
        </is>
      </c>
      <c r="W562" t="inlineStr">
        <is>
          <t>1997-06-10</t>
        </is>
      </c>
      <c r="X562" t="inlineStr">
        <is>
          <t>1997-06-10</t>
        </is>
      </c>
      <c r="Y562" t="n">
        <v>58</v>
      </c>
      <c r="Z562" t="n">
        <v>53</v>
      </c>
      <c r="AA562" t="n">
        <v>142</v>
      </c>
      <c r="AB562" t="n">
        <v>1</v>
      </c>
      <c r="AC562" t="n">
        <v>2</v>
      </c>
      <c r="AD562" t="n">
        <v>1</v>
      </c>
      <c r="AE562" t="n">
        <v>3</v>
      </c>
      <c r="AF562" t="n">
        <v>0</v>
      </c>
      <c r="AG562" t="n">
        <v>0</v>
      </c>
      <c r="AH562" t="n">
        <v>1</v>
      </c>
      <c r="AI562" t="n">
        <v>2</v>
      </c>
      <c r="AJ562" t="n">
        <v>0</v>
      </c>
      <c r="AK562" t="n">
        <v>1</v>
      </c>
      <c r="AL562" t="n">
        <v>0</v>
      </c>
      <c r="AM562" t="n">
        <v>1</v>
      </c>
      <c r="AN562" t="n">
        <v>0</v>
      </c>
      <c r="AO562" t="n">
        <v>0</v>
      </c>
      <c r="AP562" t="inlineStr">
        <is>
          <t>No</t>
        </is>
      </c>
      <c r="AQ562" t="inlineStr">
        <is>
          <t>Yes</t>
        </is>
      </c>
      <c r="AR562">
        <f>HYPERLINK("http://catalog.hathitrust.org/Record/009210423","HathiTrust Record")</f>
        <v/>
      </c>
      <c r="AS562">
        <f>HYPERLINK("https://creighton-primo.hosted.exlibrisgroup.com/primo-explore/search?tab=default_tab&amp;search_scope=EVERYTHING&amp;vid=01CRU&amp;lang=en_US&amp;offset=0&amp;query=any,contains,991005408869702656","Catalog Record")</f>
        <v/>
      </c>
      <c r="AT562">
        <f>HYPERLINK("http://www.worldcat.org/oclc/17399059","WorldCat Record")</f>
        <v/>
      </c>
      <c r="AU562" t="inlineStr">
        <is>
          <t>4163096116:ger</t>
        </is>
      </c>
      <c r="AV562" t="inlineStr">
        <is>
          <t>17399059</t>
        </is>
      </c>
      <c r="AW562" t="inlineStr">
        <is>
          <t>991005408869702656</t>
        </is>
      </c>
      <c r="AX562" t="inlineStr">
        <is>
          <t>991005408869702656</t>
        </is>
      </c>
      <c r="AY562" t="inlineStr">
        <is>
          <t>2255433410002656</t>
        </is>
      </c>
      <c r="AZ562" t="inlineStr">
        <is>
          <t>BOOK</t>
        </is>
      </c>
      <c r="BC562" t="inlineStr">
        <is>
          <t>32285002793296</t>
        </is>
      </c>
      <c r="BD562" t="inlineStr">
        <is>
          <t>893533804</t>
        </is>
      </c>
    </row>
    <row r="563">
      <c r="A563" t="inlineStr">
        <is>
          <t>No</t>
        </is>
      </c>
      <c r="B563" t="inlineStr">
        <is>
          <t>QD251 .B42</t>
        </is>
      </c>
      <c r="C563" t="inlineStr">
        <is>
          <t>0                      QD 0251000B  42</t>
        </is>
      </c>
      <c r="D563" t="inlineStr">
        <is>
          <t>Handbuch der organischen Chemie. Erstes Ergänzungswerk, die Literatur von 1910-1919 umfassend. Hrsg. von der Deutschen Chimeschen Gesellschaft. Bearb. von Friedrich Richter. 1.-27. Bd. als Ergänzung des 1.-27. Bandes des Hauptwerkes.</t>
        </is>
      </c>
      <c r="E563" t="inlineStr">
        <is>
          <t>V.1</t>
        </is>
      </c>
      <c r="F563" t="inlineStr">
        <is>
          <t>Yes</t>
        </is>
      </c>
      <c r="G563" t="inlineStr">
        <is>
          <t>1</t>
        </is>
      </c>
      <c r="H563" t="inlineStr">
        <is>
          <t>No</t>
        </is>
      </c>
      <c r="I563" t="inlineStr">
        <is>
          <t>Yes</t>
        </is>
      </c>
      <c r="J563" t="inlineStr">
        <is>
          <t>0</t>
        </is>
      </c>
      <c r="K563" t="inlineStr">
        <is>
          <t>Beilstein, Friedrich Konrad, 1838-1906.</t>
        </is>
      </c>
      <c r="L563" t="inlineStr">
        <is>
          <t>Berlin, J. Springer, 1928-1938.</t>
        </is>
      </c>
      <c r="M563" t="inlineStr">
        <is>
          <t>1928</t>
        </is>
      </c>
      <c r="N563" t="inlineStr">
        <is>
          <t>4. Aufl.</t>
        </is>
      </c>
      <c r="O563" t="inlineStr">
        <is>
          <t>ger</t>
        </is>
      </c>
      <c r="P563" t="inlineStr">
        <is>
          <t xml:space="preserve">gw </t>
        </is>
      </c>
      <c r="R563" t="inlineStr">
        <is>
          <t xml:space="preserve">QD </t>
        </is>
      </c>
      <c r="S563" t="n">
        <v>1</v>
      </c>
      <c r="T563" t="n">
        <v>15</v>
      </c>
      <c r="U563" t="inlineStr">
        <is>
          <t>1998-07-27</t>
        </is>
      </c>
      <c r="V563" t="inlineStr">
        <is>
          <t>1998-07-27</t>
        </is>
      </c>
      <c r="W563" t="inlineStr">
        <is>
          <t>1997-06-10</t>
        </is>
      </c>
      <c r="X563" t="inlineStr">
        <is>
          <t>1997-06-10</t>
        </is>
      </c>
      <c r="Y563" t="n">
        <v>58</v>
      </c>
      <c r="Z563" t="n">
        <v>53</v>
      </c>
      <c r="AA563" t="n">
        <v>142</v>
      </c>
      <c r="AB563" t="n">
        <v>1</v>
      </c>
      <c r="AC563" t="n">
        <v>2</v>
      </c>
      <c r="AD563" t="n">
        <v>1</v>
      </c>
      <c r="AE563" t="n">
        <v>3</v>
      </c>
      <c r="AF563" t="n">
        <v>0</v>
      </c>
      <c r="AG563" t="n">
        <v>0</v>
      </c>
      <c r="AH563" t="n">
        <v>1</v>
      </c>
      <c r="AI563" t="n">
        <v>2</v>
      </c>
      <c r="AJ563" t="n">
        <v>0</v>
      </c>
      <c r="AK563" t="n">
        <v>1</v>
      </c>
      <c r="AL563" t="n">
        <v>0</v>
      </c>
      <c r="AM563" t="n">
        <v>1</v>
      </c>
      <c r="AN563" t="n">
        <v>0</v>
      </c>
      <c r="AO563" t="n">
        <v>0</v>
      </c>
      <c r="AP563" t="inlineStr">
        <is>
          <t>No</t>
        </is>
      </c>
      <c r="AQ563" t="inlineStr">
        <is>
          <t>Yes</t>
        </is>
      </c>
      <c r="AR563">
        <f>HYPERLINK("http://catalog.hathitrust.org/Record/009210423","HathiTrust Record")</f>
        <v/>
      </c>
      <c r="AS563">
        <f>HYPERLINK("https://creighton-primo.hosted.exlibrisgroup.com/primo-explore/search?tab=default_tab&amp;search_scope=EVERYTHING&amp;vid=01CRU&amp;lang=en_US&amp;offset=0&amp;query=any,contains,991005408869702656","Catalog Record")</f>
        <v/>
      </c>
      <c r="AT563">
        <f>HYPERLINK("http://www.worldcat.org/oclc/17399059","WorldCat Record")</f>
        <v/>
      </c>
      <c r="AU563" t="inlineStr">
        <is>
          <t>4163096116:ger</t>
        </is>
      </c>
      <c r="AV563" t="inlineStr">
        <is>
          <t>17399059</t>
        </is>
      </c>
      <c r="AW563" t="inlineStr">
        <is>
          <t>991005408869702656</t>
        </is>
      </c>
      <c r="AX563" t="inlineStr">
        <is>
          <t>991005408869702656</t>
        </is>
      </c>
      <c r="AY563" t="inlineStr">
        <is>
          <t>2255433410002656</t>
        </is>
      </c>
      <c r="AZ563" t="inlineStr">
        <is>
          <t>BOOK</t>
        </is>
      </c>
      <c r="BC563" t="inlineStr">
        <is>
          <t>32285002793254</t>
        </is>
      </c>
      <c r="BD563" t="inlineStr">
        <is>
          <t>893527574</t>
        </is>
      </c>
    </row>
    <row r="564">
      <c r="A564" t="inlineStr">
        <is>
          <t>No</t>
        </is>
      </c>
      <c r="B564" t="inlineStr">
        <is>
          <t>QD251 .B42</t>
        </is>
      </c>
      <c r="C564" t="inlineStr">
        <is>
          <t>0                      QD 0251000B  42</t>
        </is>
      </c>
      <c r="D564" t="inlineStr">
        <is>
          <t>Handbuch der organischen Chemie. Erstes Ergänzungswerk, die Literatur von 1910-1919 umfassend. Hrsg. von der Deutschen Chimeschen Gesellschaft. Bearb. von Friedrich Richter. 1.-27. Bd. als Ergänzung des 1.-27. Bandes des Hauptwerkes.</t>
        </is>
      </c>
      <c r="E564" t="inlineStr">
        <is>
          <t>V.5</t>
        </is>
      </c>
      <c r="F564" t="inlineStr">
        <is>
          <t>Yes</t>
        </is>
      </c>
      <c r="G564" t="inlineStr">
        <is>
          <t>1</t>
        </is>
      </c>
      <c r="H564" t="inlineStr">
        <is>
          <t>No</t>
        </is>
      </c>
      <c r="I564" t="inlineStr">
        <is>
          <t>Yes</t>
        </is>
      </c>
      <c r="J564" t="inlineStr">
        <is>
          <t>0</t>
        </is>
      </c>
      <c r="K564" t="inlineStr">
        <is>
          <t>Beilstein, Friedrich Konrad, 1838-1906.</t>
        </is>
      </c>
      <c r="L564" t="inlineStr">
        <is>
          <t>Berlin, J. Springer, 1928-1938.</t>
        </is>
      </c>
      <c r="M564" t="inlineStr">
        <is>
          <t>1928</t>
        </is>
      </c>
      <c r="N564" t="inlineStr">
        <is>
          <t>4. Aufl.</t>
        </is>
      </c>
      <c r="O564" t="inlineStr">
        <is>
          <t>ger</t>
        </is>
      </c>
      <c r="P564" t="inlineStr">
        <is>
          <t xml:space="preserve">gw </t>
        </is>
      </c>
      <c r="R564" t="inlineStr">
        <is>
          <t xml:space="preserve">QD </t>
        </is>
      </c>
      <c r="S564" t="n">
        <v>1</v>
      </c>
      <c r="T564" t="n">
        <v>15</v>
      </c>
      <c r="U564" t="inlineStr">
        <is>
          <t>1998-07-27</t>
        </is>
      </c>
      <c r="V564" t="inlineStr">
        <is>
          <t>1998-07-27</t>
        </is>
      </c>
      <c r="W564" t="inlineStr">
        <is>
          <t>1997-06-10</t>
        </is>
      </c>
      <c r="X564" t="inlineStr">
        <is>
          <t>1997-06-10</t>
        </is>
      </c>
      <c r="Y564" t="n">
        <v>58</v>
      </c>
      <c r="Z564" t="n">
        <v>53</v>
      </c>
      <c r="AA564" t="n">
        <v>142</v>
      </c>
      <c r="AB564" t="n">
        <v>1</v>
      </c>
      <c r="AC564" t="n">
        <v>2</v>
      </c>
      <c r="AD564" t="n">
        <v>1</v>
      </c>
      <c r="AE564" t="n">
        <v>3</v>
      </c>
      <c r="AF564" t="n">
        <v>0</v>
      </c>
      <c r="AG564" t="n">
        <v>0</v>
      </c>
      <c r="AH564" t="n">
        <v>1</v>
      </c>
      <c r="AI564" t="n">
        <v>2</v>
      </c>
      <c r="AJ564" t="n">
        <v>0</v>
      </c>
      <c r="AK564" t="n">
        <v>1</v>
      </c>
      <c r="AL564" t="n">
        <v>0</v>
      </c>
      <c r="AM564" t="n">
        <v>1</v>
      </c>
      <c r="AN564" t="n">
        <v>0</v>
      </c>
      <c r="AO564" t="n">
        <v>0</v>
      </c>
      <c r="AP564" t="inlineStr">
        <is>
          <t>No</t>
        </is>
      </c>
      <c r="AQ564" t="inlineStr">
        <is>
          <t>Yes</t>
        </is>
      </c>
      <c r="AR564">
        <f>HYPERLINK("http://catalog.hathitrust.org/Record/009210423","HathiTrust Record")</f>
        <v/>
      </c>
      <c r="AS564">
        <f>HYPERLINK("https://creighton-primo.hosted.exlibrisgroup.com/primo-explore/search?tab=default_tab&amp;search_scope=EVERYTHING&amp;vid=01CRU&amp;lang=en_US&amp;offset=0&amp;query=any,contains,991005408869702656","Catalog Record")</f>
        <v/>
      </c>
      <c r="AT564">
        <f>HYPERLINK("http://www.worldcat.org/oclc/17399059","WorldCat Record")</f>
        <v/>
      </c>
      <c r="AU564" t="inlineStr">
        <is>
          <t>4163096116:ger</t>
        </is>
      </c>
      <c r="AV564" t="inlineStr">
        <is>
          <t>17399059</t>
        </is>
      </c>
      <c r="AW564" t="inlineStr">
        <is>
          <t>991005408869702656</t>
        </is>
      </c>
      <c r="AX564" t="inlineStr">
        <is>
          <t>991005408869702656</t>
        </is>
      </c>
      <c r="AY564" t="inlineStr">
        <is>
          <t>2255433410002656</t>
        </is>
      </c>
      <c r="AZ564" t="inlineStr">
        <is>
          <t>BOOK</t>
        </is>
      </c>
      <c r="BC564" t="inlineStr">
        <is>
          <t>32285002793288</t>
        </is>
      </c>
      <c r="BD564" t="inlineStr">
        <is>
          <t>893508215</t>
        </is>
      </c>
    </row>
    <row r="565">
      <c r="A565" t="inlineStr">
        <is>
          <t>No</t>
        </is>
      </c>
      <c r="B565" t="inlineStr">
        <is>
          <t>QD251 .B42</t>
        </is>
      </c>
      <c r="C565" t="inlineStr">
        <is>
          <t>0                      QD 0251000B  42</t>
        </is>
      </c>
      <c r="D565" t="inlineStr">
        <is>
          <t>Handbuch der organischen Chemie. Erstes Ergänzungswerk, die Literatur von 1910-1919 umfassend. Hrsg. von der Deutschen Chimeschen Gesellschaft. Bearb. von Friedrich Richter. 1.-27. Bd. als Ergänzung des 1.-27. Bandes des Hauptwerkes.</t>
        </is>
      </c>
      <c r="E565" t="inlineStr">
        <is>
          <t>V.23-25</t>
        </is>
      </c>
      <c r="F565" t="inlineStr">
        <is>
          <t>Yes</t>
        </is>
      </c>
      <c r="G565" t="inlineStr">
        <is>
          <t>1</t>
        </is>
      </c>
      <c r="H565" t="inlineStr">
        <is>
          <t>No</t>
        </is>
      </c>
      <c r="I565" t="inlineStr">
        <is>
          <t>Yes</t>
        </is>
      </c>
      <c r="J565" t="inlineStr">
        <is>
          <t>0</t>
        </is>
      </c>
      <c r="K565" t="inlineStr">
        <is>
          <t>Beilstein, Friedrich Konrad, 1838-1906.</t>
        </is>
      </c>
      <c r="L565" t="inlineStr">
        <is>
          <t>Berlin, J. Springer, 1928-1938.</t>
        </is>
      </c>
      <c r="M565" t="inlineStr">
        <is>
          <t>1928</t>
        </is>
      </c>
      <c r="N565" t="inlineStr">
        <is>
          <t>4. Aufl.</t>
        </is>
      </c>
      <c r="O565" t="inlineStr">
        <is>
          <t>ger</t>
        </is>
      </c>
      <c r="P565" t="inlineStr">
        <is>
          <t xml:space="preserve">gw </t>
        </is>
      </c>
      <c r="R565" t="inlineStr">
        <is>
          <t xml:space="preserve">QD </t>
        </is>
      </c>
      <c r="S565" t="n">
        <v>1</v>
      </c>
      <c r="T565" t="n">
        <v>15</v>
      </c>
      <c r="U565" t="inlineStr">
        <is>
          <t>1998-07-27</t>
        </is>
      </c>
      <c r="V565" t="inlineStr">
        <is>
          <t>1998-07-27</t>
        </is>
      </c>
      <c r="W565" t="inlineStr">
        <is>
          <t>1997-06-10</t>
        </is>
      </c>
      <c r="X565" t="inlineStr">
        <is>
          <t>1997-06-10</t>
        </is>
      </c>
      <c r="Y565" t="n">
        <v>58</v>
      </c>
      <c r="Z565" t="n">
        <v>53</v>
      </c>
      <c r="AA565" t="n">
        <v>142</v>
      </c>
      <c r="AB565" t="n">
        <v>1</v>
      </c>
      <c r="AC565" t="n">
        <v>2</v>
      </c>
      <c r="AD565" t="n">
        <v>1</v>
      </c>
      <c r="AE565" t="n">
        <v>3</v>
      </c>
      <c r="AF565" t="n">
        <v>0</v>
      </c>
      <c r="AG565" t="n">
        <v>0</v>
      </c>
      <c r="AH565" t="n">
        <v>1</v>
      </c>
      <c r="AI565" t="n">
        <v>2</v>
      </c>
      <c r="AJ565" t="n">
        <v>0</v>
      </c>
      <c r="AK565" t="n">
        <v>1</v>
      </c>
      <c r="AL565" t="n">
        <v>0</v>
      </c>
      <c r="AM565" t="n">
        <v>1</v>
      </c>
      <c r="AN565" t="n">
        <v>0</v>
      </c>
      <c r="AO565" t="n">
        <v>0</v>
      </c>
      <c r="AP565" t="inlineStr">
        <is>
          <t>No</t>
        </is>
      </c>
      <c r="AQ565" t="inlineStr">
        <is>
          <t>Yes</t>
        </is>
      </c>
      <c r="AR565">
        <f>HYPERLINK("http://catalog.hathitrust.org/Record/009210423","HathiTrust Record")</f>
        <v/>
      </c>
      <c r="AS565">
        <f>HYPERLINK("https://creighton-primo.hosted.exlibrisgroup.com/primo-explore/search?tab=default_tab&amp;search_scope=EVERYTHING&amp;vid=01CRU&amp;lang=en_US&amp;offset=0&amp;query=any,contains,991005408869702656","Catalog Record")</f>
        <v/>
      </c>
      <c r="AT565">
        <f>HYPERLINK("http://www.worldcat.org/oclc/17399059","WorldCat Record")</f>
        <v/>
      </c>
      <c r="AU565" t="inlineStr">
        <is>
          <t>4163096116:ger</t>
        </is>
      </c>
      <c r="AV565" t="inlineStr">
        <is>
          <t>17399059</t>
        </is>
      </c>
      <c r="AW565" t="inlineStr">
        <is>
          <t>991005408869702656</t>
        </is>
      </c>
      <c r="AX565" t="inlineStr">
        <is>
          <t>991005408869702656</t>
        </is>
      </c>
      <c r="AY565" t="inlineStr">
        <is>
          <t>2255433410002656</t>
        </is>
      </c>
      <c r="AZ565" t="inlineStr">
        <is>
          <t>BOOK</t>
        </is>
      </c>
      <c r="BC565" t="inlineStr">
        <is>
          <t>32285002793387</t>
        </is>
      </c>
      <c r="BD565" t="inlineStr">
        <is>
          <t>893527573</t>
        </is>
      </c>
    </row>
    <row r="566">
      <c r="A566" t="inlineStr">
        <is>
          <t>No</t>
        </is>
      </c>
      <c r="B566" t="inlineStr">
        <is>
          <t>QD251 .B42</t>
        </is>
      </c>
      <c r="C566" t="inlineStr">
        <is>
          <t>0                      QD 0251000B  42</t>
        </is>
      </c>
      <c r="D566" t="inlineStr">
        <is>
          <t>Handbuch der organischen Chemie. Erstes Ergänzungswerk, die Literatur von 1910-1919 umfassend. Hrsg. von der Deutschen Chimeschen Gesellschaft. Bearb. von Friedrich Richter. 1.-27. Bd. als Ergänzung des 1.-27. Bandes des Hauptwerkes.</t>
        </is>
      </c>
      <c r="E566" t="inlineStr">
        <is>
          <t>V.3-4</t>
        </is>
      </c>
      <c r="F566" t="inlineStr">
        <is>
          <t>Yes</t>
        </is>
      </c>
      <c r="G566" t="inlineStr">
        <is>
          <t>1</t>
        </is>
      </c>
      <c r="H566" t="inlineStr">
        <is>
          <t>No</t>
        </is>
      </c>
      <c r="I566" t="inlineStr">
        <is>
          <t>Yes</t>
        </is>
      </c>
      <c r="J566" t="inlineStr">
        <is>
          <t>0</t>
        </is>
      </c>
      <c r="K566" t="inlineStr">
        <is>
          <t>Beilstein, Friedrich Konrad, 1838-1906.</t>
        </is>
      </c>
      <c r="L566" t="inlineStr">
        <is>
          <t>Berlin, J. Springer, 1928-1938.</t>
        </is>
      </c>
      <c r="M566" t="inlineStr">
        <is>
          <t>1928</t>
        </is>
      </c>
      <c r="N566" t="inlineStr">
        <is>
          <t>4. Aufl.</t>
        </is>
      </c>
      <c r="O566" t="inlineStr">
        <is>
          <t>ger</t>
        </is>
      </c>
      <c r="P566" t="inlineStr">
        <is>
          <t xml:space="preserve">gw </t>
        </is>
      </c>
      <c r="R566" t="inlineStr">
        <is>
          <t xml:space="preserve">QD </t>
        </is>
      </c>
      <c r="S566" t="n">
        <v>1</v>
      </c>
      <c r="T566" t="n">
        <v>15</v>
      </c>
      <c r="U566" t="inlineStr">
        <is>
          <t>1998-07-27</t>
        </is>
      </c>
      <c r="V566" t="inlineStr">
        <is>
          <t>1998-07-27</t>
        </is>
      </c>
      <c r="W566" t="inlineStr">
        <is>
          <t>1997-06-10</t>
        </is>
      </c>
      <c r="X566" t="inlineStr">
        <is>
          <t>1997-06-10</t>
        </is>
      </c>
      <c r="Y566" t="n">
        <v>58</v>
      </c>
      <c r="Z566" t="n">
        <v>53</v>
      </c>
      <c r="AA566" t="n">
        <v>142</v>
      </c>
      <c r="AB566" t="n">
        <v>1</v>
      </c>
      <c r="AC566" t="n">
        <v>2</v>
      </c>
      <c r="AD566" t="n">
        <v>1</v>
      </c>
      <c r="AE566" t="n">
        <v>3</v>
      </c>
      <c r="AF566" t="n">
        <v>0</v>
      </c>
      <c r="AG566" t="n">
        <v>0</v>
      </c>
      <c r="AH566" t="n">
        <v>1</v>
      </c>
      <c r="AI566" t="n">
        <v>2</v>
      </c>
      <c r="AJ566" t="n">
        <v>0</v>
      </c>
      <c r="AK566" t="n">
        <v>1</v>
      </c>
      <c r="AL566" t="n">
        <v>0</v>
      </c>
      <c r="AM566" t="n">
        <v>1</v>
      </c>
      <c r="AN566" t="n">
        <v>0</v>
      </c>
      <c r="AO566" t="n">
        <v>0</v>
      </c>
      <c r="AP566" t="inlineStr">
        <is>
          <t>No</t>
        </is>
      </c>
      <c r="AQ566" t="inlineStr">
        <is>
          <t>Yes</t>
        </is>
      </c>
      <c r="AR566">
        <f>HYPERLINK("http://catalog.hathitrust.org/Record/009210423","HathiTrust Record")</f>
        <v/>
      </c>
      <c r="AS566">
        <f>HYPERLINK("https://creighton-primo.hosted.exlibrisgroup.com/primo-explore/search?tab=default_tab&amp;search_scope=EVERYTHING&amp;vid=01CRU&amp;lang=en_US&amp;offset=0&amp;query=any,contains,991005408869702656","Catalog Record")</f>
        <v/>
      </c>
      <c r="AT566">
        <f>HYPERLINK("http://www.worldcat.org/oclc/17399059","WorldCat Record")</f>
        <v/>
      </c>
      <c r="AU566" t="inlineStr">
        <is>
          <t>4163096116:ger</t>
        </is>
      </c>
      <c r="AV566" t="inlineStr">
        <is>
          <t>17399059</t>
        </is>
      </c>
      <c r="AW566" t="inlineStr">
        <is>
          <t>991005408869702656</t>
        </is>
      </c>
      <c r="AX566" t="inlineStr">
        <is>
          <t>991005408869702656</t>
        </is>
      </c>
      <c r="AY566" t="inlineStr">
        <is>
          <t>2255433410002656</t>
        </is>
      </c>
      <c r="AZ566" t="inlineStr">
        <is>
          <t>BOOK</t>
        </is>
      </c>
      <c r="BC566" t="inlineStr">
        <is>
          <t>32285002793270</t>
        </is>
      </c>
      <c r="BD566" t="inlineStr">
        <is>
          <t>893533805</t>
        </is>
      </c>
    </row>
    <row r="567">
      <c r="A567" t="inlineStr">
        <is>
          <t>No</t>
        </is>
      </c>
      <c r="B567" t="inlineStr">
        <is>
          <t>QD251 .B42</t>
        </is>
      </c>
      <c r="C567" t="inlineStr">
        <is>
          <t>0                      QD 0251000B  42</t>
        </is>
      </c>
      <c r="D567" t="inlineStr">
        <is>
          <t>Handbuch der organischen Chemie. Erstes Ergänzungswerk, die Literatur von 1910-1919 umfassend. Hrsg. von der Deutschen Chimeschen Gesellschaft. Bearb. von Friedrich Richter. 1.-27. Bd. als Ergänzung des 1.-27. Bandes des Hauptwerkes.</t>
        </is>
      </c>
      <c r="E567" t="inlineStr">
        <is>
          <t>V.17-19</t>
        </is>
      </c>
      <c r="F567" t="inlineStr">
        <is>
          <t>Yes</t>
        </is>
      </c>
      <c r="G567" t="inlineStr">
        <is>
          <t>1</t>
        </is>
      </c>
      <c r="H567" t="inlineStr">
        <is>
          <t>No</t>
        </is>
      </c>
      <c r="I567" t="inlineStr">
        <is>
          <t>Yes</t>
        </is>
      </c>
      <c r="J567" t="inlineStr">
        <is>
          <t>0</t>
        </is>
      </c>
      <c r="K567" t="inlineStr">
        <is>
          <t>Beilstein, Friedrich Konrad, 1838-1906.</t>
        </is>
      </c>
      <c r="L567" t="inlineStr">
        <is>
          <t>Berlin, J. Springer, 1928-1938.</t>
        </is>
      </c>
      <c r="M567" t="inlineStr">
        <is>
          <t>1928</t>
        </is>
      </c>
      <c r="N567" t="inlineStr">
        <is>
          <t>4. Aufl.</t>
        </is>
      </c>
      <c r="O567" t="inlineStr">
        <is>
          <t>ger</t>
        </is>
      </c>
      <c r="P567" t="inlineStr">
        <is>
          <t xml:space="preserve">gw </t>
        </is>
      </c>
      <c r="R567" t="inlineStr">
        <is>
          <t xml:space="preserve">QD </t>
        </is>
      </c>
      <c r="S567" t="n">
        <v>1</v>
      </c>
      <c r="T567" t="n">
        <v>15</v>
      </c>
      <c r="U567" t="inlineStr">
        <is>
          <t>1998-07-27</t>
        </is>
      </c>
      <c r="V567" t="inlineStr">
        <is>
          <t>1998-07-27</t>
        </is>
      </c>
      <c r="W567" t="inlineStr">
        <is>
          <t>1997-06-10</t>
        </is>
      </c>
      <c r="X567" t="inlineStr">
        <is>
          <t>1997-06-10</t>
        </is>
      </c>
      <c r="Y567" t="n">
        <v>58</v>
      </c>
      <c r="Z567" t="n">
        <v>53</v>
      </c>
      <c r="AA567" t="n">
        <v>142</v>
      </c>
      <c r="AB567" t="n">
        <v>1</v>
      </c>
      <c r="AC567" t="n">
        <v>2</v>
      </c>
      <c r="AD567" t="n">
        <v>1</v>
      </c>
      <c r="AE567" t="n">
        <v>3</v>
      </c>
      <c r="AF567" t="n">
        <v>0</v>
      </c>
      <c r="AG567" t="n">
        <v>0</v>
      </c>
      <c r="AH567" t="n">
        <v>1</v>
      </c>
      <c r="AI567" t="n">
        <v>2</v>
      </c>
      <c r="AJ567" t="n">
        <v>0</v>
      </c>
      <c r="AK567" t="n">
        <v>1</v>
      </c>
      <c r="AL567" t="n">
        <v>0</v>
      </c>
      <c r="AM567" t="n">
        <v>1</v>
      </c>
      <c r="AN567" t="n">
        <v>0</v>
      </c>
      <c r="AO567" t="n">
        <v>0</v>
      </c>
      <c r="AP567" t="inlineStr">
        <is>
          <t>No</t>
        </is>
      </c>
      <c r="AQ567" t="inlineStr">
        <is>
          <t>Yes</t>
        </is>
      </c>
      <c r="AR567">
        <f>HYPERLINK("http://catalog.hathitrust.org/Record/009210423","HathiTrust Record")</f>
        <v/>
      </c>
      <c r="AS567">
        <f>HYPERLINK("https://creighton-primo.hosted.exlibrisgroup.com/primo-explore/search?tab=default_tab&amp;search_scope=EVERYTHING&amp;vid=01CRU&amp;lang=en_US&amp;offset=0&amp;query=any,contains,991005408869702656","Catalog Record")</f>
        <v/>
      </c>
      <c r="AT567">
        <f>HYPERLINK("http://www.worldcat.org/oclc/17399059","WorldCat Record")</f>
        <v/>
      </c>
      <c r="AU567" t="inlineStr">
        <is>
          <t>4163096116:ger</t>
        </is>
      </c>
      <c r="AV567" t="inlineStr">
        <is>
          <t>17399059</t>
        </is>
      </c>
      <c r="AW567" t="inlineStr">
        <is>
          <t>991005408869702656</t>
        </is>
      </c>
      <c r="AX567" t="inlineStr">
        <is>
          <t>991005408869702656</t>
        </is>
      </c>
      <c r="AY567" t="inlineStr">
        <is>
          <t>2255433410002656</t>
        </is>
      </c>
      <c r="AZ567" t="inlineStr">
        <is>
          <t>BOOK</t>
        </is>
      </c>
      <c r="BC567" t="inlineStr">
        <is>
          <t>32285002793361</t>
        </is>
      </c>
      <c r="BD567" t="inlineStr">
        <is>
          <t>893508216</t>
        </is>
      </c>
    </row>
    <row r="568">
      <c r="A568" t="inlineStr">
        <is>
          <t>No</t>
        </is>
      </c>
      <c r="B568" t="inlineStr">
        <is>
          <t>QD251 .B42</t>
        </is>
      </c>
      <c r="C568" t="inlineStr">
        <is>
          <t>0                      QD 0251000B  42</t>
        </is>
      </c>
      <c r="D568" t="inlineStr">
        <is>
          <t>Handbuch der organischen Chemie. Erstes Ergänzungswerk, die Literatur von 1910-1919 umfassend. Hrsg. von der Deutschen Chimeschen Gesellschaft. Bearb. von Friedrich Richter. 1.-27. Bd. als Ergänzung des 1.-27. Bandes des Hauptwerkes.</t>
        </is>
      </c>
      <c r="E568" t="inlineStr">
        <is>
          <t>V.2</t>
        </is>
      </c>
      <c r="F568" t="inlineStr">
        <is>
          <t>Yes</t>
        </is>
      </c>
      <c r="G568" t="inlineStr">
        <is>
          <t>1</t>
        </is>
      </c>
      <c r="H568" t="inlineStr">
        <is>
          <t>No</t>
        </is>
      </c>
      <c r="I568" t="inlineStr">
        <is>
          <t>Yes</t>
        </is>
      </c>
      <c r="J568" t="inlineStr">
        <is>
          <t>0</t>
        </is>
      </c>
      <c r="K568" t="inlineStr">
        <is>
          <t>Beilstein, Friedrich Konrad, 1838-1906.</t>
        </is>
      </c>
      <c r="L568" t="inlineStr">
        <is>
          <t>Berlin, J. Springer, 1928-1938.</t>
        </is>
      </c>
      <c r="M568" t="inlineStr">
        <is>
          <t>1928</t>
        </is>
      </c>
      <c r="N568" t="inlineStr">
        <is>
          <t>4. Aufl.</t>
        </is>
      </c>
      <c r="O568" t="inlineStr">
        <is>
          <t>ger</t>
        </is>
      </c>
      <c r="P568" t="inlineStr">
        <is>
          <t xml:space="preserve">gw </t>
        </is>
      </c>
      <c r="R568" t="inlineStr">
        <is>
          <t xml:space="preserve">QD </t>
        </is>
      </c>
      <c r="S568" t="n">
        <v>1</v>
      </c>
      <c r="T568" t="n">
        <v>15</v>
      </c>
      <c r="U568" t="inlineStr">
        <is>
          <t>1998-07-27</t>
        </is>
      </c>
      <c r="V568" t="inlineStr">
        <is>
          <t>1998-07-27</t>
        </is>
      </c>
      <c r="W568" t="inlineStr">
        <is>
          <t>1997-06-10</t>
        </is>
      </c>
      <c r="X568" t="inlineStr">
        <is>
          <t>1997-06-10</t>
        </is>
      </c>
      <c r="Y568" t="n">
        <v>58</v>
      </c>
      <c r="Z568" t="n">
        <v>53</v>
      </c>
      <c r="AA568" t="n">
        <v>142</v>
      </c>
      <c r="AB568" t="n">
        <v>1</v>
      </c>
      <c r="AC568" t="n">
        <v>2</v>
      </c>
      <c r="AD568" t="n">
        <v>1</v>
      </c>
      <c r="AE568" t="n">
        <v>3</v>
      </c>
      <c r="AF568" t="n">
        <v>0</v>
      </c>
      <c r="AG568" t="n">
        <v>0</v>
      </c>
      <c r="AH568" t="n">
        <v>1</v>
      </c>
      <c r="AI568" t="n">
        <v>2</v>
      </c>
      <c r="AJ568" t="n">
        <v>0</v>
      </c>
      <c r="AK568" t="n">
        <v>1</v>
      </c>
      <c r="AL568" t="n">
        <v>0</v>
      </c>
      <c r="AM568" t="n">
        <v>1</v>
      </c>
      <c r="AN568" t="n">
        <v>0</v>
      </c>
      <c r="AO568" t="n">
        <v>0</v>
      </c>
      <c r="AP568" t="inlineStr">
        <is>
          <t>No</t>
        </is>
      </c>
      <c r="AQ568" t="inlineStr">
        <is>
          <t>Yes</t>
        </is>
      </c>
      <c r="AR568">
        <f>HYPERLINK("http://catalog.hathitrust.org/Record/009210423","HathiTrust Record")</f>
        <v/>
      </c>
      <c r="AS568">
        <f>HYPERLINK("https://creighton-primo.hosted.exlibrisgroup.com/primo-explore/search?tab=default_tab&amp;search_scope=EVERYTHING&amp;vid=01CRU&amp;lang=en_US&amp;offset=0&amp;query=any,contains,991005408869702656","Catalog Record")</f>
        <v/>
      </c>
      <c r="AT568">
        <f>HYPERLINK("http://www.worldcat.org/oclc/17399059","WorldCat Record")</f>
        <v/>
      </c>
      <c r="AU568" t="inlineStr">
        <is>
          <t>4163096116:ger</t>
        </is>
      </c>
      <c r="AV568" t="inlineStr">
        <is>
          <t>17399059</t>
        </is>
      </c>
      <c r="AW568" t="inlineStr">
        <is>
          <t>991005408869702656</t>
        </is>
      </c>
      <c r="AX568" t="inlineStr">
        <is>
          <t>991005408869702656</t>
        </is>
      </c>
      <c r="AY568" t="inlineStr">
        <is>
          <t>2255433410002656</t>
        </is>
      </c>
      <c r="AZ568" t="inlineStr">
        <is>
          <t>BOOK</t>
        </is>
      </c>
      <c r="BC568" t="inlineStr">
        <is>
          <t>32285002793262</t>
        </is>
      </c>
      <c r="BD568" t="inlineStr">
        <is>
          <t>893521147</t>
        </is>
      </c>
    </row>
    <row r="569">
      <c r="A569" t="inlineStr">
        <is>
          <t>No</t>
        </is>
      </c>
      <c r="B569" t="inlineStr">
        <is>
          <t>QD251 .B42</t>
        </is>
      </c>
      <c r="C569" t="inlineStr">
        <is>
          <t>0                      QD 0251000B  42</t>
        </is>
      </c>
      <c r="D569" t="inlineStr">
        <is>
          <t>Handbuch der organischen Chemie. Erstes Ergänzungswerk, die Literatur von 1910-1919 umfassend. Hrsg. von der Deutschen Chimeschen Gesellschaft. Bearb. von Friedrich Richter. 1.-27. Bd. als Ergänzung des 1.-27. Bandes des Hauptwerkes.</t>
        </is>
      </c>
      <c r="E569" t="inlineStr">
        <is>
          <t>V.20-22</t>
        </is>
      </c>
      <c r="F569" t="inlineStr">
        <is>
          <t>Yes</t>
        </is>
      </c>
      <c r="G569" t="inlineStr">
        <is>
          <t>1</t>
        </is>
      </c>
      <c r="H569" t="inlineStr">
        <is>
          <t>No</t>
        </is>
      </c>
      <c r="I569" t="inlineStr">
        <is>
          <t>Yes</t>
        </is>
      </c>
      <c r="J569" t="inlineStr">
        <is>
          <t>0</t>
        </is>
      </c>
      <c r="K569" t="inlineStr">
        <is>
          <t>Beilstein, Friedrich Konrad, 1838-1906.</t>
        </is>
      </c>
      <c r="L569" t="inlineStr">
        <is>
          <t>Berlin, J. Springer, 1928-1938.</t>
        </is>
      </c>
      <c r="M569" t="inlineStr">
        <is>
          <t>1928</t>
        </is>
      </c>
      <c r="N569" t="inlineStr">
        <is>
          <t>4. Aufl.</t>
        </is>
      </c>
      <c r="O569" t="inlineStr">
        <is>
          <t>ger</t>
        </is>
      </c>
      <c r="P569" t="inlineStr">
        <is>
          <t xml:space="preserve">gw </t>
        </is>
      </c>
      <c r="R569" t="inlineStr">
        <is>
          <t xml:space="preserve">QD </t>
        </is>
      </c>
      <c r="S569" t="n">
        <v>1</v>
      </c>
      <c r="T569" t="n">
        <v>15</v>
      </c>
      <c r="U569" t="inlineStr">
        <is>
          <t>1998-07-27</t>
        </is>
      </c>
      <c r="V569" t="inlineStr">
        <is>
          <t>1998-07-27</t>
        </is>
      </c>
      <c r="W569" t="inlineStr">
        <is>
          <t>1997-06-10</t>
        </is>
      </c>
      <c r="X569" t="inlineStr">
        <is>
          <t>1997-06-10</t>
        </is>
      </c>
      <c r="Y569" t="n">
        <v>58</v>
      </c>
      <c r="Z569" t="n">
        <v>53</v>
      </c>
      <c r="AA569" t="n">
        <v>142</v>
      </c>
      <c r="AB569" t="n">
        <v>1</v>
      </c>
      <c r="AC569" t="n">
        <v>2</v>
      </c>
      <c r="AD569" t="n">
        <v>1</v>
      </c>
      <c r="AE569" t="n">
        <v>3</v>
      </c>
      <c r="AF569" t="n">
        <v>0</v>
      </c>
      <c r="AG569" t="n">
        <v>0</v>
      </c>
      <c r="AH569" t="n">
        <v>1</v>
      </c>
      <c r="AI569" t="n">
        <v>2</v>
      </c>
      <c r="AJ569" t="n">
        <v>0</v>
      </c>
      <c r="AK569" t="n">
        <v>1</v>
      </c>
      <c r="AL569" t="n">
        <v>0</v>
      </c>
      <c r="AM569" t="n">
        <v>1</v>
      </c>
      <c r="AN569" t="n">
        <v>0</v>
      </c>
      <c r="AO569" t="n">
        <v>0</v>
      </c>
      <c r="AP569" t="inlineStr">
        <is>
          <t>No</t>
        </is>
      </c>
      <c r="AQ569" t="inlineStr">
        <is>
          <t>Yes</t>
        </is>
      </c>
      <c r="AR569">
        <f>HYPERLINK("http://catalog.hathitrust.org/Record/009210423","HathiTrust Record")</f>
        <v/>
      </c>
      <c r="AS569">
        <f>HYPERLINK("https://creighton-primo.hosted.exlibrisgroup.com/primo-explore/search?tab=default_tab&amp;search_scope=EVERYTHING&amp;vid=01CRU&amp;lang=en_US&amp;offset=0&amp;query=any,contains,991005408869702656","Catalog Record")</f>
        <v/>
      </c>
      <c r="AT569">
        <f>HYPERLINK("http://www.worldcat.org/oclc/17399059","WorldCat Record")</f>
        <v/>
      </c>
      <c r="AU569" t="inlineStr">
        <is>
          <t>4163096116:ger</t>
        </is>
      </c>
      <c r="AV569" t="inlineStr">
        <is>
          <t>17399059</t>
        </is>
      </c>
      <c r="AW569" t="inlineStr">
        <is>
          <t>991005408869702656</t>
        </is>
      </c>
      <c r="AX569" t="inlineStr">
        <is>
          <t>991005408869702656</t>
        </is>
      </c>
      <c r="AY569" t="inlineStr">
        <is>
          <t>2255433410002656</t>
        </is>
      </c>
      <c r="AZ569" t="inlineStr">
        <is>
          <t>BOOK</t>
        </is>
      </c>
      <c r="BC569" t="inlineStr">
        <is>
          <t>32285002793379</t>
        </is>
      </c>
      <c r="BD569" t="inlineStr">
        <is>
          <t>893533800</t>
        </is>
      </c>
    </row>
    <row r="570">
      <c r="A570" t="inlineStr">
        <is>
          <t>No</t>
        </is>
      </c>
      <c r="B570" t="inlineStr">
        <is>
          <t>QD251 .B42</t>
        </is>
      </c>
      <c r="C570" t="inlineStr">
        <is>
          <t>0                      QD 0251000B  42</t>
        </is>
      </c>
      <c r="D570" t="inlineStr">
        <is>
          <t>Handbuch der organischen Chemie. Erstes Ergänzungswerk, die Literatur von 1910-1919 umfassend. Hrsg. von der Deutschen Chimeschen Gesellschaft. Bearb. von Friedrich Richter. 1.-27. Bd. als Ergänzung des 1.-27. Bandes des Hauptwerkes.</t>
        </is>
      </c>
      <c r="E570" t="inlineStr">
        <is>
          <t>V.26-27</t>
        </is>
      </c>
      <c r="F570" t="inlineStr">
        <is>
          <t>Yes</t>
        </is>
      </c>
      <c r="G570" t="inlineStr">
        <is>
          <t>1</t>
        </is>
      </c>
      <c r="H570" t="inlineStr">
        <is>
          <t>No</t>
        </is>
      </c>
      <c r="I570" t="inlineStr">
        <is>
          <t>Yes</t>
        </is>
      </c>
      <c r="J570" t="inlineStr">
        <is>
          <t>0</t>
        </is>
      </c>
      <c r="K570" t="inlineStr">
        <is>
          <t>Beilstein, Friedrich Konrad, 1838-1906.</t>
        </is>
      </c>
      <c r="L570" t="inlineStr">
        <is>
          <t>Berlin, J. Springer, 1928-1938.</t>
        </is>
      </c>
      <c r="M570" t="inlineStr">
        <is>
          <t>1928</t>
        </is>
      </c>
      <c r="N570" t="inlineStr">
        <is>
          <t>4. Aufl.</t>
        </is>
      </c>
      <c r="O570" t="inlineStr">
        <is>
          <t>ger</t>
        </is>
      </c>
      <c r="P570" t="inlineStr">
        <is>
          <t xml:space="preserve">gw </t>
        </is>
      </c>
      <c r="R570" t="inlineStr">
        <is>
          <t xml:space="preserve">QD </t>
        </is>
      </c>
      <c r="S570" t="n">
        <v>1</v>
      </c>
      <c r="T570" t="n">
        <v>15</v>
      </c>
      <c r="U570" t="inlineStr">
        <is>
          <t>1998-07-27</t>
        </is>
      </c>
      <c r="V570" t="inlineStr">
        <is>
          <t>1998-07-27</t>
        </is>
      </c>
      <c r="W570" t="inlineStr">
        <is>
          <t>1997-06-10</t>
        </is>
      </c>
      <c r="X570" t="inlineStr">
        <is>
          <t>1997-06-10</t>
        </is>
      </c>
      <c r="Y570" t="n">
        <v>58</v>
      </c>
      <c r="Z570" t="n">
        <v>53</v>
      </c>
      <c r="AA570" t="n">
        <v>142</v>
      </c>
      <c r="AB570" t="n">
        <v>1</v>
      </c>
      <c r="AC570" t="n">
        <v>2</v>
      </c>
      <c r="AD570" t="n">
        <v>1</v>
      </c>
      <c r="AE570" t="n">
        <v>3</v>
      </c>
      <c r="AF570" t="n">
        <v>0</v>
      </c>
      <c r="AG570" t="n">
        <v>0</v>
      </c>
      <c r="AH570" t="n">
        <v>1</v>
      </c>
      <c r="AI570" t="n">
        <v>2</v>
      </c>
      <c r="AJ570" t="n">
        <v>0</v>
      </c>
      <c r="AK570" t="n">
        <v>1</v>
      </c>
      <c r="AL570" t="n">
        <v>0</v>
      </c>
      <c r="AM570" t="n">
        <v>1</v>
      </c>
      <c r="AN570" t="n">
        <v>0</v>
      </c>
      <c r="AO570" t="n">
        <v>0</v>
      </c>
      <c r="AP570" t="inlineStr">
        <is>
          <t>No</t>
        </is>
      </c>
      <c r="AQ570" t="inlineStr">
        <is>
          <t>Yes</t>
        </is>
      </c>
      <c r="AR570">
        <f>HYPERLINK("http://catalog.hathitrust.org/Record/009210423","HathiTrust Record")</f>
        <v/>
      </c>
      <c r="AS570">
        <f>HYPERLINK("https://creighton-primo.hosted.exlibrisgroup.com/primo-explore/search?tab=default_tab&amp;search_scope=EVERYTHING&amp;vid=01CRU&amp;lang=en_US&amp;offset=0&amp;query=any,contains,991005408869702656","Catalog Record")</f>
        <v/>
      </c>
      <c r="AT570">
        <f>HYPERLINK("http://www.worldcat.org/oclc/17399059","WorldCat Record")</f>
        <v/>
      </c>
      <c r="AU570" t="inlineStr">
        <is>
          <t>4163096116:ger</t>
        </is>
      </c>
      <c r="AV570" t="inlineStr">
        <is>
          <t>17399059</t>
        </is>
      </c>
      <c r="AW570" t="inlineStr">
        <is>
          <t>991005408869702656</t>
        </is>
      </c>
      <c r="AX570" t="inlineStr">
        <is>
          <t>991005408869702656</t>
        </is>
      </c>
      <c r="AY570" t="inlineStr">
        <is>
          <t>2255433410002656</t>
        </is>
      </c>
      <c r="AZ570" t="inlineStr">
        <is>
          <t>BOOK</t>
        </is>
      </c>
      <c r="BC570" t="inlineStr">
        <is>
          <t>32285002793395</t>
        </is>
      </c>
      <c r="BD570" t="inlineStr">
        <is>
          <t>893533799</t>
        </is>
      </c>
    </row>
    <row r="571">
      <c r="A571" t="inlineStr">
        <is>
          <t>No</t>
        </is>
      </c>
      <c r="B571" t="inlineStr">
        <is>
          <t>QD251 .B43</t>
        </is>
      </c>
      <c r="C571" t="inlineStr">
        <is>
          <t>0                      QD 0251000B  43</t>
        </is>
      </c>
      <c r="D571" t="inlineStr">
        <is>
          <t>Handbuch der organischen Chemie, zweites Ergänzungswerk : die Literatur von 1920-1929 umfassend / hrsg. von der Deutschen Chemischen Gesellschaft ; bearb. von Friedrich Richter. 1.-29. Bd. als Ergänzung des 1.-29. Bandes des Hauptwerkes.</t>
        </is>
      </c>
      <c r="E571" t="inlineStr">
        <is>
          <t>V.28 PT.2</t>
        </is>
      </c>
      <c r="F571" t="inlineStr">
        <is>
          <t>Yes</t>
        </is>
      </c>
      <c r="G571" t="inlineStr">
        <is>
          <t>1</t>
        </is>
      </c>
      <c r="H571" t="inlineStr">
        <is>
          <t>No</t>
        </is>
      </c>
      <c r="I571" t="inlineStr">
        <is>
          <t>Yes</t>
        </is>
      </c>
      <c r="J571" t="inlineStr">
        <is>
          <t>0</t>
        </is>
      </c>
      <c r="K571" t="inlineStr">
        <is>
          <t>Beilstein, Friedrich Konrad, 1838-1906.</t>
        </is>
      </c>
      <c r="L571" t="inlineStr">
        <is>
          <t>Berlin : J. Springer, 1941-57.</t>
        </is>
      </c>
      <c r="M571" t="inlineStr">
        <is>
          <t>1941</t>
        </is>
      </c>
      <c r="O571" t="inlineStr">
        <is>
          <t>ger</t>
        </is>
      </c>
      <c r="P571" t="inlineStr">
        <is>
          <t xml:space="preserve">gw </t>
        </is>
      </c>
      <c r="R571" t="inlineStr">
        <is>
          <t xml:space="preserve">QD </t>
        </is>
      </c>
      <c r="S571" t="n">
        <v>1</v>
      </c>
      <c r="T571" t="n">
        <v>31</v>
      </c>
      <c r="U571" t="inlineStr">
        <is>
          <t>1998-07-28</t>
        </is>
      </c>
      <c r="V571" t="inlineStr">
        <is>
          <t>1998-07-28</t>
        </is>
      </c>
      <c r="W571" t="inlineStr">
        <is>
          <t>1997-06-10</t>
        </is>
      </c>
      <c r="X571" t="inlineStr">
        <is>
          <t>1997-06-10</t>
        </is>
      </c>
      <c r="Y571" t="n">
        <v>76</v>
      </c>
      <c r="Z571" t="n">
        <v>72</v>
      </c>
      <c r="AA571" t="n">
        <v>142</v>
      </c>
      <c r="AB571" t="n">
        <v>1</v>
      </c>
      <c r="AC571" t="n">
        <v>2</v>
      </c>
      <c r="AD571" t="n">
        <v>2</v>
      </c>
      <c r="AE571" t="n">
        <v>3</v>
      </c>
      <c r="AF571" t="n">
        <v>0</v>
      </c>
      <c r="AG571" t="n">
        <v>0</v>
      </c>
      <c r="AH571" t="n">
        <v>2</v>
      </c>
      <c r="AI571" t="n">
        <v>2</v>
      </c>
      <c r="AJ571" t="n">
        <v>1</v>
      </c>
      <c r="AK571" t="n">
        <v>1</v>
      </c>
      <c r="AL571" t="n">
        <v>0</v>
      </c>
      <c r="AM571" t="n">
        <v>1</v>
      </c>
      <c r="AN571" t="n">
        <v>0</v>
      </c>
      <c r="AO571" t="n">
        <v>0</v>
      </c>
      <c r="AP571" t="inlineStr">
        <is>
          <t>No</t>
        </is>
      </c>
      <c r="AQ571" t="inlineStr">
        <is>
          <t>No</t>
        </is>
      </c>
      <c r="AS571">
        <f>HYPERLINK("https://creighton-primo.hosted.exlibrisgroup.com/primo-explore/search?tab=default_tab&amp;search_scope=EVERYTHING&amp;vid=01CRU&amp;lang=en_US&amp;offset=0&amp;query=any,contains,991005370109702656","Catalog Record")</f>
        <v/>
      </c>
      <c r="AT571">
        <f>HYPERLINK("http://www.worldcat.org/oclc/2707352","WorldCat Record")</f>
        <v/>
      </c>
      <c r="AU571" t="inlineStr">
        <is>
          <t>4163096116:ger</t>
        </is>
      </c>
      <c r="AV571" t="inlineStr">
        <is>
          <t>2707352</t>
        </is>
      </c>
      <c r="AW571" t="inlineStr">
        <is>
          <t>991005370109702656</t>
        </is>
      </c>
      <c r="AX571" t="inlineStr">
        <is>
          <t>991005370109702656</t>
        </is>
      </c>
      <c r="AY571" t="inlineStr">
        <is>
          <t>2263428860002656</t>
        </is>
      </c>
      <c r="AZ571" t="inlineStr">
        <is>
          <t>BOOK</t>
        </is>
      </c>
      <c r="BC571" t="inlineStr">
        <is>
          <t>32285002793718</t>
        </is>
      </c>
      <c r="BD571" t="inlineStr">
        <is>
          <t>893536604</t>
        </is>
      </c>
    </row>
    <row r="572">
      <c r="A572" t="inlineStr">
        <is>
          <t>No</t>
        </is>
      </c>
      <c r="B572" t="inlineStr">
        <is>
          <t>QD251 .B43</t>
        </is>
      </c>
      <c r="C572" t="inlineStr">
        <is>
          <t>0                      QD 0251000B  43</t>
        </is>
      </c>
      <c r="D572" t="inlineStr">
        <is>
          <t>Handbuch der organischen Chemie, zweites Ergänzungswerk : die Literatur von 1920-1929 umfassend / hrsg. von der Deutschen Chemischen Gesellschaft ; bearb. von Friedrich Richter. 1.-29. Bd. als Ergänzung des 1.-29. Bandes des Hauptwerkes.</t>
        </is>
      </c>
      <c r="E572" t="inlineStr">
        <is>
          <t>V.16</t>
        </is>
      </c>
      <c r="F572" t="inlineStr">
        <is>
          <t>Yes</t>
        </is>
      </c>
      <c r="G572" t="inlineStr">
        <is>
          <t>1</t>
        </is>
      </c>
      <c r="H572" t="inlineStr">
        <is>
          <t>No</t>
        </is>
      </c>
      <c r="I572" t="inlineStr">
        <is>
          <t>Yes</t>
        </is>
      </c>
      <c r="J572" t="inlineStr">
        <is>
          <t>0</t>
        </is>
      </c>
      <c r="K572" t="inlineStr">
        <is>
          <t>Beilstein, Friedrich Konrad, 1838-1906.</t>
        </is>
      </c>
      <c r="L572" t="inlineStr">
        <is>
          <t>Berlin : J. Springer, 1941-57.</t>
        </is>
      </c>
      <c r="M572" t="inlineStr">
        <is>
          <t>1941</t>
        </is>
      </c>
      <c r="O572" t="inlineStr">
        <is>
          <t>ger</t>
        </is>
      </c>
      <c r="P572" t="inlineStr">
        <is>
          <t xml:space="preserve">gw </t>
        </is>
      </c>
      <c r="R572" t="inlineStr">
        <is>
          <t xml:space="preserve">QD </t>
        </is>
      </c>
      <c r="S572" t="n">
        <v>1</v>
      </c>
      <c r="T572" t="n">
        <v>31</v>
      </c>
      <c r="U572" t="inlineStr">
        <is>
          <t>1998-07-28</t>
        </is>
      </c>
      <c r="V572" t="inlineStr">
        <is>
          <t>1998-07-28</t>
        </is>
      </c>
      <c r="W572" t="inlineStr">
        <is>
          <t>1997-06-10</t>
        </is>
      </c>
      <c r="X572" t="inlineStr">
        <is>
          <t>1997-06-10</t>
        </is>
      </c>
      <c r="Y572" t="n">
        <v>76</v>
      </c>
      <c r="Z572" t="n">
        <v>72</v>
      </c>
      <c r="AA572" t="n">
        <v>142</v>
      </c>
      <c r="AB572" t="n">
        <v>1</v>
      </c>
      <c r="AC572" t="n">
        <v>2</v>
      </c>
      <c r="AD572" t="n">
        <v>2</v>
      </c>
      <c r="AE572" t="n">
        <v>3</v>
      </c>
      <c r="AF572" t="n">
        <v>0</v>
      </c>
      <c r="AG572" t="n">
        <v>0</v>
      </c>
      <c r="AH572" t="n">
        <v>2</v>
      </c>
      <c r="AI572" t="n">
        <v>2</v>
      </c>
      <c r="AJ572" t="n">
        <v>1</v>
      </c>
      <c r="AK572" t="n">
        <v>1</v>
      </c>
      <c r="AL572" t="n">
        <v>0</v>
      </c>
      <c r="AM572" t="n">
        <v>1</v>
      </c>
      <c r="AN572" t="n">
        <v>0</v>
      </c>
      <c r="AO572" t="n">
        <v>0</v>
      </c>
      <c r="AP572" t="inlineStr">
        <is>
          <t>No</t>
        </is>
      </c>
      <c r="AQ572" t="inlineStr">
        <is>
          <t>No</t>
        </is>
      </c>
      <c r="AS572">
        <f>HYPERLINK("https://creighton-primo.hosted.exlibrisgroup.com/primo-explore/search?tab=default_tab&amp;search_scope=EVERYTHING&amp;vid=01CRU&amp;lang=en_US&amp;offset=0&amp;query=any,contains,991005370109702656","Catalog Record")</f>
        <v/>
      </c>
      <c r="AT572">
        <f>HYPERLINK("http://www.worldcat.org/oclc/2707352","WorldCat Record")</f>
        <v/>
      </c>
      <c r="AU572" t="inlineStr">
        <is>
          <t>4163096116:ger</t>
        </is>
      </c>
      <c r="AV572" t="inlineStr">
        <is>
          <t>2707352</t>
        </is>
      </c>
      <c r="AW572" t="inlineStr">
        <is>
          <t>991005370109702656</t>
        </is>
      </c>
      <c r="AX572" t="inlineStr">
        <is>
          <t>991005370109702656</t>
        </is>
      </c>
      <c r="AY572" t="inlineStr">
        <is>
          <t>2263428860002656</t>
        </is>
      </c>
      <c r="AZ572" t="inlineStr">
        <is>
          <t>BOOK</t>
        </is>
      </c>
      <c r="BC572" t="inlineStr">
        <is>
          <t>32285002793585</t>
        </is>
      </c>
      <c r="BD572" t="inlineStr">
        <is>
          <t>893521051</t>
        </is>
      </c>
    </row>
    <row r="573">
      <c r="A573" t="inlineStr">
        <is>
          <t>No</t>
        </is>
      </c>
      <c r="B573" t="inlineStr">
        <is>
          <t>QD251 .B43</t>
        </is>
      </c>
      <c r="C573" t="inlineStr">
        <is>
          <t>0                      QD 0251000B  43</t>
        </is>
      </c>
      <c r="D573" t="inlineStr">
        <is>
          <t>Handbuch der organischen Chemie, zweites Ergänzungswerk : die Literatur von 1920-1929 umfassend / hrsg. von der Deutschen Chemischen Gesellschaft ; bearb. von Friedrich Richter. 1.-29. Bd. als Ergänzung des 1.-29. Bandes des Hauptwerkes.</t>
        </is>
      </c>
      <c r="E573" t="inlineStr">
        <is>
          <t>V.23</t>
        </is>
      </c>
      <c r="F573" t="inlineStr">
        <is>
          <t>Yes</t>
        </is>
      </c>
      <c r="G573" t="inlineStr">
        <is>
          <t>1</t>
        </is>
      </c>
      <c r="H573" t="inlineStr">
        <is>
          <t>No</t>
        </is>
      </c>
      <c r="I573" t="inlineStr">
        <is>
          <t>Yes</t>
        </is>
      </c>
      <c r="J573" t="inlineStr">
        <is>
          <t>0</t>
        </is>
      </c>
      <c r="K573" t="inlineStr">
        <is>
          <t>Beilstein, Friedrich Konrad, 1838-1906.</t>
        </is>
      </c>
      <c r="L573" t="inlineStr">
        <is>
          <t>Berlin : J. Springer, 1941-57.</t>
        </is>
      </c>
      <c r="M573" t="inlineStr">
        <is>
          <t>1941</t>
        </is>
      </c>
      <c r="O573" t="inlineStr">
        <is>
          <t>ger</t>
        </is>
      </c>
      <c r="P573" t="inlineStr">
        <is>
          <t xml:space="preserve">gw </t>
        </is>
      </c>
      <c r="R573" t="inlineStr">
        <is>
          <t xml:space="preserve">QD </t>
        </is>
      </c>
      <c r="S573" t="n">
        <v>1</v>
      </c>
      <c r="T573" t="n">
        <v>31</v>
      </c>
      <c r="U573" t="inlineStr">
        <is>
          <t>1998-07-28</t>
        </is>
      </c>
      <c r="V573" t="inlineStr">
        <is>
          <t>1998-07-28</t>
        </is>
      </c>
      <c r="W573" t="inlineStr">
        <is>
          <t>1997-06-10</t>
        </is>
      </c>
      <c r="X573" t="inlineStr">
        <is>
          <t>1997-06-10</t>
        </is>
      </c>
      <c r="Y573" t="n">
        <v>76</v>
      </c>
      <c r="Z573" t="n">
        <v>72</v>
      </c>
      <c r="AA573" t="n">
        <v>142</v>
      </c>
      <c r="AB573" t="n">
        <v>1</v>
      </c>
      <c r="AC573" t="n">
        <v>2</v>
      </c>
      <c r="AD573" t="n">
        <v>2</v>
      </c>
      <c r="AE573" t="n">
        <v>3</v>
      </c>
      <c r="AF573" t="n">
        <v>0</v>
      </c>
      <c r="AG573" t="n">
        <v>0</v>
      </c>
      <c r="AH573" t="n">
        <v>2</v>
      </c>
      <c r="AI573" t="n">
        <v>2</v>
      </c>
      <c r="AJ573" t="n">
        <v>1</v>
      </c>
      <c r="AK573" t="n">
        <v>1</v>
      </c>
      <c r="AL573" t="n">
        <v>0</v>
      </c>
      <c r="AM573" t="n">
        <v>1</v>
      </c>
      <c r="AN573" t="n">
        <v>0</v>
      </c>
      <c r="AO573" t="n">
        <v>0</v>
      </c>
      <c r="AP573" t="inlineStr">
        <is>
          <t>No</t>
        </is>
      </c>
      <c r="AQ573" t="inlineStr">
        <is>
          <t>No</t>
        </is>
      </c>
      <c r="AS573">
        <f>HYPERLINK("https://creighton-primo.hosted.exlibrisgroup.com/primo-explore/search?tab=default_tab&amp;search_scope=EVERYTHING&amp;vid=01CRU&amp;lang=en_US&amp;offset=0&amp;query=any,contains,991005370109702656","Catalog Record")</f>
        <v/>
      </c>
      <c r="AT573">
        <f>HYPERLINK("http://www.worldcat.org/oclc/2707352","WorldCat Record")</f>
        <v/>
      </c>
      <c r="AU573" t="inlineStr">
        <is>
          <t>4163096116:ger</t>
        </is>
      </c>
      <c r="AV573" t="inlineStr">
        <is>
          <t>2707352</t>
        </is>
      </c>
      <c r="AW573" t="inlineStr">
        <is>
          <t>991005370109702656</t>
        </is>
      </c>
      <c r="AX573" t="inlineStr">
        <is>
          <t>991005370109702656</t>
        </is>
      </c>
      <c r="AY573" t="inlineStr">
        <is>
          <t>2263428860002656</t>
        </is>
      </c>
      <c r="AZ573" t="inlineStr">
        <is>
          <t>BOOK</t>
        </is>
      </c>
      <c r="BC573" t="inlineStr">
        <is>
          <t>32285002793650</t>
        </is>
      </c>
      <c r="BD573" t="inlineStr">
        <is>
          <t>893521044</t>
        </is>
      </c>
    </row>
    <row r="574">
      <c r="A574" t="inlineStr">
        <is>
          <t>No</t>
        </is>
      </c>
      <c r="B574" t="inlineStr">
        <is>
          <t>QD251 .B43</t>
        </is>
      </c>
      <c r="C574" t="inlineStr">
        <is>
          <t>0                      QD 0251000B  43</t>
        </is>
      </c>
      <c r="D574" t="inlineStr">
        <is>
          <t>Handbuch der organischen Chemie, zweites Ergänzungswerk : die Literatur von 1920-1929 umfassend / hrsg. von der Deutschen Chemischen Gesellschaft ; bearb. von Friedrich Richter. 1.-29. Bd. als Ergänzung des 1.-29. Bandes des Hauptwerkes.</t>
        </is>
      </c>
      <c r="E574" t="inlineStr">
        <is>
          <t>V.18</t>
        </is>
      </c>
      <c r="F574" t="inlineStr">
        <is>
          <t>Yes</t>
        </is>
      </c>
      <c r="G574" t="inlineStr">
        <is>
          <t>1</t>
        </is>
      </c>
      <c r="H574" t="inlineStr">
        <is>
          <t>No</t>
        </is>
      </c>
      <c r="I574" t="inlineStr">
        <is>
          <t>Yes</t>
        </is>
      </c>
      <c r="J574" t="inlineStr">
        <is>
          <t>0</t>
        </is>
      </c>
      <c r="K574" t="inlineStr">
        <is>
          <t>Beilstein, Friedrich Konrad, 1838-1906.</t>
        </is>
      </c>
      <c r="L574" t="inlineStr">
        <is>
          <t>Berlin : J. Springer, 1941-57.</t>
        </is>
      </c>
      <c r="M574" t="inlineStr">
        <is>
          <t>1941</t>
        </is>
      </c>
      <c r="O574" t="inlineStr">
        <is>
          <t>ger</t>
        </is>
      </c>
      <c r="P574" t="inlineStr">
        <is>
          <t xml:space="preserve">gw </t>
        </is>
      </c>
      <c r="R574" t="inlineStr">
        <is>
          <t xml:space="preserve">QD </t>
        </is>
      </c>
      <c r="S574" t="n">
        <v>1</v>
      </c>
      <c r="T574" t="n">
        <v>31</v>
      </c>
      <c r="U574" t="inlineStr">
        <is>
          <t>1998-07-28</t>
        </is>
      </c>
      <c r="V574" t="inlineStr">
        <is>
          <t>1998-07-28</t>
        </is>
      </c>
      <c r="W574" t="inlineStr">
        <is>
          <t>1997-06-10</t>
        </is>
      </c>
      <c r="X574" t="inlineStr">
        <is>
          <t>1997-06-10</t>
        </is>
      </c>
      <c r="Y574" t="n">
        <v>76</v>
      </c>
      <c r="Z574" t="n">
        <v>72</v>
      </c>
      <c r="AA574" t="n">
        <v>142</v>
      </c>
      <c r="AB574" t="n">
        <v>1</v>
      </c>
      <c r="AC574" t="n">
        <v>2</v>
      </c>
      <c r="AD574" t="n">
        <v>2</v>
      </c>
      <c r="AE574" t="n">
        <v>3</v>
      </c>
      <c r="AF574" t="n">
        <v>0</v>
      </c>
      <c r="AG574" t="n">
        <v>0</v>
      </c>
      <c r="AH574" t="n">
        <v>2</v>
      </c>
      <c r="AI574" t="n">
        <v>2</v>
      </c>
      <c r="AJ574" t="n">
        <v>1</v>
      </c>
      <c r="AK574" t="n">
        <v>1</v>
      </c>
      <c r="AL574" t="n">
        <v>0</v>
      </c>
      <c r="AM574" t="n">
        <v>1</v>
      </c>
      <c r="AN574" t="n">
        <v>0</v>
      </c>
      <c r="AO574" t="n">
        <v>0</v>
      </c>
      <c r="AP574" t="inlineStr">
        <is>
          <t>No</t>
        </is>
      </c>
      <c r="AQ574" t="inlineStr">
        <is>
          <t>No</t>
        </is>
      </c>
      <c r="AS574">
        <f>HYPERLINK("https://creighton-primo.hosted.exlibrisgroup.com/primo-explore/search?tab=default_tab&amp;search_scope=EVERYTHING&amp;vid=01CRU&amp;lang=en_US&amp;offset=0&amp;query=any,contains,991005370109702656","Catalog Record")</f>
        <v/>
      </c>
      <c r="AT574">
        <f>HYPERLINK("http://www.worldcat.org/oclc/2707352","WorldCat Record")</f>
        <v/>
      </c>
      <c r="AU574" t="inlineStr">
        <is>
          <t>4163096116:ger</t>
        </is>
      </c>
      <c r="AV574" t="inlineStr">
        <is>
          <t>2707352</t>
        </is>
      </c>
      <c r="AW574" t="inlineStr">
        <is>
          <t>991005370109702656</t>
        </is>
      </c>
      <c r="AX574" t="inlineStr">
        <is>
          <t>991005370109702656</t>
        </is>
      </c>
      <c r="AY574" t="inlineStr">
        <is>
          <t>2263428860002656</t>
        </is>
      </c>
      <c r="AZ574" t="inlineStr">
        <is>
          <t>BOOK</t>
        </is>
      </c>
      <c r="BC574" t="inlineStr">
        <is>
          <t>32285002793601</t>
        </is>
      </c>
      <c r="BD574" t="inlineStr">
        <is>
          <t>893527505</t>
        </is>
      </c>
    </row>
    <row r="575">
      <c r="A575" t="inlineStr">
        <is>
          <t>No</t>
        </is>
      </c>
      <c r="B575" t="inlineStr">
        <is>
          <t>QD251 .B43</t>
        </is>
      </c>
      <c r="C575" t="inlineStr">
        <is>
          <t>0                      QD 0251000B  43</t>
        </is>
      </c>
      <c r="D575" t="inlineStr">
        <is>
          <t>Handbuch der organischen Chemie, zweites Ergänzungswerk : die Literatur von 1920-1929 umfassend / hrsg. von der Deutschen Chemischen Gesellschaft ; bearb. von Friedrich Richter. 1.-29. Bd. als Ergänzung des 1.-29. Bandes des Hauptwerkes.</t>
        </is>
      </c>
      <c r="E575" t="inlineStr">
        <is>
          <t>V.17</t>
        </is>
      </c>
      <c r="F575" t="inlineStr">
        <is>
          <t>Yes</t>
        </is>
      </c>
      <c r="G575" t="inlineStr">
        <is>
          <t>1</t>
        </is>
      </c>
      <c r="H575" t="inlineStr">
        <is>
          <t>No</t>
        </is>
      </c>
      <c r="I575" t="inlineStr">
        <is>
          <t>Yes</t>
        </is>
      </c>
      <c r="J575" t="inlineStr">
        <is>
          <t>0</t>
        </is>
      </c>
      <c r="K575" t="inlineStr">
        <is>
          <t>Beilstein, Friedrich Konrad, 1838-1906.</t>
        </is>
      </c>
      <c r="L575" t="inlineStr">
        <is>
          <t>Berlin : J. Springer, 1941-57.</t>
        </is>
      </c>
      <c r="M575" t="inlineStr">
        <is>
          <t>1941</t>
        </is>
      </c>
      <c r="O575" t="inlineStr">
        <is>
          <t>ger</t>
        </is>
      </c>
      <c r="P575" t="inlineStr">
        <is>
          <t xml:space="preserve">gw </t>
        </is>
      </c>
      <c r="R575" t="inlineStr">
        <is>
          <t xml:space="preserve">QD </t>
        </is>
      </c>
      <c r="S575" t="n">
        <v>1</v>
      </c>
      <c r="T575" t="n">
        <v>31</v>
      </c>
      <c r="U575" t="inlineStr">
        <is>
          <t>1998-07-28</t>
        </is>
      </c>
      <c r="V575" t="inlineStr">
        <is>
          <t>1998-07-28</t>
        </is>
      </c>
      <c r="W575" t="inlineStr">
        <is>
          <t>1997-06-10</t>
        </is>
      </c>
      <c r="X575" t="inlineStr">
        <is>
          <t>1997-06-10</t>
        </is>
      </c>
      <c r="Y575" t="n">
        <v>76</v>
      </c>
      <c r="Z575" t="n">
        <v>72</v>
      </c>
      <c r="AA575" t="n">
        <v>142</v>
      </c>
      <c r="AB575" t="n">
        <v>1</v>
      </c>
      <c r="AC575" t="n">
        <v>2</v>
      </c>
      <c r="AD575" t="n">
        <v>2</v>
      </c>
      <c r="AE575" t="n">
        <v>3</v>
      </c>
      <c r="AF575" t="n">
        <v>0</v>
      </c>
      <c r="AG575" t="n">
        <v>0</v>
      </c>
      <c r="AH575" t="n">
        <v>2</v>
      </c>
      <c r="AI575" t="n">
        <v>2</v>
      </c>
      <c r="AJ575" t="n">
        <v>1</v>
      </c>
      <c r="AK575" t="n">
        <v>1</v>
      </c>
      <c r="AL575" t="n">
        <v>0</v>
      </c>
      <c r="AM575" t="n">
        <v>1</v>
      </c>
      <c r="AN575" t="n">
        <v>0</v>
      </c>
      <c r="AO575" t="n">
        <v>0</v>
      </c>
      <c r="AP575" t="inlineStr">
        <is>
          <t>No</t>
        </is>
      </c>
      <c r="AQ575" t="inlineStr">
        <is>
          <t>No</t>
        </is>
      </c>
      <c r="AS575">
        <f>HYPERLINK("https://creighton-primo.hosted.exlibrisgroup.com/primo-explore/search?tab=default_tab&amp;search_scope=EVERYTHING&amp;vid=01CRU&amp;lang=en_US&amp;offset=0&amp;query=any,contains,991005370109702656","Catalog Record")</f>
        <v/>
      </c>
      <c r="AT575">
        <f>HYPERLINK("http://www.worldcat.org/oclc/2707352","WorldCat Record")</f>
        <v/>
      </c>
      <c r="AU575" t="inlineStr">
        <is>
          <t>4163096116:ger</t>
        </is>
      </c>
      <c r="AV575" t="inlineStr">
        <is>
          <t>2707352</t>
        </is>
      </c>
      <c r="AW575" t="inlineStr">
        <is>
          <t>991005370109702656</t>
        </is>
      </c>
      <c r="AX575" t="inlineStr">
        <is>
          <t>991005370109702656</t>
        </is>
      </c>
      <c r="AY575" t="inlineStr">
        <is>
          <t>2263428860002656</t>
        </is>
      </c>
      <c r="AZ575" t="inlineStr">
        <is>
          <t>BOOK</t>
        </is>
      </c>
      <c r="BC575" t="inlineStr">
        <is>
          <t>32285002793593</t>
        </is>
      </c>
      <c r="BD575" t="inlineStr">
        <is>
          <t>893514608</t>
        </is>
      </c>
    </row>
    <row r="576">
      <c r="A576" t="inlineStr">
        <is>
          <t>No</t>
        </is>
      </c>
      <c r="B576" t="inlineStr">
        <is>
          <t>QD251 .B43</t>
        </is>
      </c>
      <c r="C576" t="inlineStr">
        <is>
          <t>0                      QD 0251000B  43</t>
        </is>
      </c>
      <c r="D576" t="inlineStr">
        <is>
          <t>Handbuch der organischen Chemie, zweites Ergänzungswerk : die Literatur von 1920-1929 umfassend / hrsg. von der Deutschen Chemischen Gesellschaft ; bearb. von Friedrich Richter. 1.-29. Bd. als Ergänzung des 1.-29. Bandes des Hauptwerkes.</t>
        </is>
      </c>
      <c r="E576" t="inlineStr">
        <is>
          <t>V.7</t>
        </is>
      </c>
      <c r="F576" t="inlineStr">
        <is>
          <t>Yes</t>
        </is>
      </c>
      <c r="G576" t="inlineStr">
        <is>
          <t>1</t>
        </is>
      </c>
      <c r="H576" t="inlineStr">
        <is>
          <t>No</t>
        </is>
      </c>
      <c r="I576" t="inlineStr">
        <is>
          <t>Yes</t>
        </is>
      </c>
      <c r="J576" t="inlineStr">
        <is>
          <t>0</t>
        </is>
      </c>
      <c r="K576" t="inlineStr">
        <is>
          <t>Beilstein, Friedrich Konrad, 1838-1906.</t>
        </is>
      </c>
      <c r="L576" t="inlineStr">
        <is>
          <t>Berlin : J. Springer, 1941-57.</t>
        </is>
      </c>
      <c r="M576" t="inlineStr">
        <is>
          <t>1941</t>
        </is>
      </c>
      <c r="O576" t="inlineStr">
        <is>
          <t>ger</t>
        </is>
      </c>
      <c r="P576" t="inlineStr">
        <is>
          <t xml:space="preserve">gw </t>
        </is>
      </c>
      <c r="R576" t="inlineStr">
        <is>
          <t xml:space="preserve">QD </t>
        </is>
      </c>
      <c r="S576" t="n">
        <v>1</v>
      </c>
      <c r="T576" t="n">
        <v>31</v>
      </c>
      <c r="U576" t="inlineStr">
        <is>
          <t>1998-07-28</t>
        </is>
      </c>
      <c r="V576" t="inlineStr">
        <is>
          <t>1998-07-28</t>
        </is>
      </c>
      <c r="W576" t="inlineStr">
        <is>
          <t>1997-06-10</t>
        </is>
      </c>
      <c r="X576" t="inlineStr">
        <is>
          <t>1997-06-10</t>
        </is>
      </c>
      <c r="Y576" t="n">
        <v>76</v>
      </c>
      <c r="Z576" t="n">
        <v>72</v>
      </c>
      <c r="AA576" t="n">
        <v>142</v>
      </c>
      <c r="AB576" t="n">
        <v>1</v>
      </c>
      <c r="AC576" t="n">
        <v>2</v>
      </c>
      <c r="AD576" t="n">
        <v>2</v>
      </c>
      <c r="AE576" t="n">
        <v>3</v>
      </c>
      <c r="AF576" t="n">
        <v>0</v>
      </c>
      <c r="AG576" t="n">
        <v>0</v>
      </c>
      <c r="AH576" t="n">
        <v>2</v>
      </c>
      <c r="AI576" t="n">
        <v>2</v>
      </c>
      <c r="AJ576" t="n">
        <v>1</v>
      </c>
      <c r="AK576" t="n">
        <v>1</v>
      </c>
      <c r="AL576" t="n">
        <v>0</v>
      </c>
      <c r="AM576" t="n">
        <v>1</v>
      </c>
      <c r="AN576" t="n">
        <v>0</v>
      </c>
      <c r="AO576" t="n">
        <v>0</v>
      </c>
      <c r="AP576" t="inlineStr">
        <is>
          <t>No</t>
        </is>
      </c>
      <c r="AQ576" t="inlineStr">
        <is>
          <t>No</t>
        </is>
      </c>
      <c r="AS576">
        <f>HYPERLINK("https://creighton-primo.hosted.exlibrisgroup.com/primo-explore/search?tab=default_tab&amp;search_scope=EVERYTHING&amp;vid=01CRU&amp;lang=en_US&amp;offset=0&amp;query=any,contains,991005370109702656","Catalog Record")</f>
        <v/>
      </c>
      <c r="AT576">
        <f>HYPERLINK("http://www.worldcat.org/oclc/2707352","WorldCat Record")</f>
        <v/>
      </c>
      <c r="AU576" t="inlineStr">
        <is>
          <t>4163096116:ger</t>
        </is>
      </c>
      <c r="AV576" t="inlineStr">
        <is>
          <t>2707352</t>
        </is>
      </c>
      <c r="AW576" t="inlineStr">
        <is>
          <t>991005370109702656</t>
        </is>
      </c>
      <c r="AX576" t="inlineStr">
        <is>
          <t>991005370109702656</t>
        </is>
      </c>
      <c r="AY576" t="inlineStr">
        <is>
          <t>2263428860002656</t>
        </is>
      </c>
      <c r="AZ576" t="inlineStr">
        <is>
          <t>BOOK</t>
        </is>
      </c>
      <c r="BC576" t="inlineStr">
        <is>
          <t>32285002793494</t>
        </is>
      </c>
      <c r="BD576" t="inlineStr">
        <is>
          <t>893536602</t>
        </is>
      </c>
    </row>
    <row r="577">
      <c r="A577" t="inlineStr">
        <is>
          <t>No</t>
        </is>
      </c>
      <c r="B577" t="inlineStr">
        <is>
          <t>QD251 .B43</t>
        </is>
      </c>
      <c r="C577" t="inlineStr">
        <is>
          <t>0                      QD 0251000B  43</t>
        </is>
      </c>
      <c r="D577" t="inlineStr">
        <is>
          <t>Handbuch der organischen Chemie, zweites Ergänzungswerk : die Literatur von 1920-1929 umfassend / hrsg. von der Deutschen Chemischen Gesellschaft ; bearb. von Friedrich Richter. 1.-29. Bd. als Ergänzung des 1.-29. Bandes des Hauptwerkes.</t>
        </is>
      </c>
      <c r="E577" t="inlineStr">
        <is>
          <t>V.14</t>
        </is>
      </c>
      <c r="F577" t="inlineStr">
        <is>
          <t>Yes</t>
        </is>
      </c>
      <c r="G577" t="inlineStr">
        <is>
          <t>1</t>
        </is>
      </c>
      <c r="H577" t="inlineStr">
        <is>
          <t>No</t>
        </is>
      </c>
      <c r="I577" t="inlineStr">
        <is>
          <t>Yes</t>
        </is>
      </c>
      <c r="J577" t="inlineStr">
        <is>
          <t>0</t>
        </is>
      </c>
      <c r="K577" t="inlineStr">
        <is>
          <t>Beilstein, Friedrich Konrad, 1838-1906.</t>
        </is>
      </c>
      <c r="L577" t="inlineStr">
        <is>
          <t>Berlin : J. Springer, 1941-57.</t>
        </is>
      </c>
      <c r="M577" t="inlineStr">
        <is>
          <t>1941</t>
        </is>
      </c>
      <c r="O577" t="inlineStr">
        <is>
          <t>ger</t>
        </is>
      </c>
      <c r="P577" t="inlineStr">
        <is>
          <t xml:space="preserve">gw </t>
        </is>
      </c>
      <c r="R577" t="inlineStr">
        <is>
          <t xml:space="preserve">QD </t>
        </is>
      </c>
      <c r="S577" t="n">
        <v>1</v>
      </c>
      <c r="T577" t="n">
        <v>31</v>
      </c>
      <c r="U577" t="inlineStr">
        <is>
          <t>1998-07-28</t>
        </is>
      </c>
      <c r="V577" t="inlineStr">
        <is>
          <t>1998-07-28</t>
        </is>
      </c>
      <c r="W577" t="inlineStr">
        <is>
          <t>1997-06-10</t>
        </is>
      </c>
      <c r="X577" t="inlineStr">
        <is>
          <t>1997-06-10</t>
        </is>
      </c>
      <c r="Y577" t="n">
        <v>76</v>
      </c>
      <c r="Z577" t="n">
        <v>72</v>
      </c>
      <c r="AA577" t="n">
        <v>142</v>
      </c>
      <c r="AB577" t="n">
        <v>1</v>
      </c>
      <c r="AC577" t="n">
        <v>2</v>
      </c>
      <c r="AD577" t="n">
        <v>2</v>
      </c>
      <c r="AE577" t="n">
        <v>3</v>
      </c>
      <c r="AF577" t="n">
        <v>0</v>
      </c>
      <c r="AG577" t="n">
        <v>0</v>
      </c>
      <c r="AH577" t="n">
        <v>2</v>
      </c>
      <c r="AI577" t="n">
        <v>2</v>
      </c>
      <c r="AJ577" t="n">
        <v>1</v>
      </c>
      <c r="AK577" t="n">
        <v>1</v>
      </c>
      <c r="AL577" t="n">
        <v>0</v>
      </c>
      <c r="AM577" t="n">
        <v>1</v>
      </c>
      <c r="AN577" t="n">
        <v>0</v>
      </c>
      <c r="AO577" t="n">
        <v>0</v>
      </c>
      <c r="AP577" t="inlineStr">
        <is>
          <t>No</t>
        </is>
      </c>
      <c r="AQ577" t="inlineStr">
        <is>
          <t>No</t>
        </is>
      </c>
      <c r="AS577">
        <f>HYPERLINK("https://creighton-primo.hosted.exlibrisgroup.com/primo-explore/search?tab=default_tab&amp;search_scope=EVERYTHING&amp;vid=01CRU&amp;lang=en_US&amp;offset=0&amp;query=any,contains,991005370109702656","Catalog Record")</f>
        <v/>
      </c>
      <c r="AT577">
        <f>HYPERLINK("http://www.worldcat.org/oclc/2707352","WorldCat Record")</f>
        <v/>
      </c>
      <c r="AU577" t="inlineStr">
        <is>
          <t>4163096116:ger</t>
        </is>
      </c>
      <c r="AV577" t="inlineStr">
        <is>
          <t>2707352</t>
        </is>
      </c>
      <c r="AW577" t="inlineStr">
        <is>
          <t>991005370109702656</t>
        </is>
      </c>
      <c r="AX577" t="inlineStr">
        <is>
          <t>991005370109702656</t>
        </is>
      </c>
      <c r="AY577" t="inlineStr">
        <is>
          <t>2263428860002656</t>
        </is>
      </c>
      <c r="AZ577" t="inlineStr">
        <is>
          <t>BOOK</t>
        </is>
      </c>
      <c r="BC577" t="inlineStr">
        <is>
          <t>32285002793569</t>
        </is>
      </c>
      <c r="BD577" t="inlineStr">
        <is>
          <t>893521046</t>
        </is>
      </c>
    </row>
    <row r="578">
      <c r="A578" t="inlineStr">
        <is>
          <t>No</t>
        </is>
      </c>
      <c r="B578" t="inlineStr">
        <is>
          <t>QD251 .B43</t>
        </is>
      </c>
      <c r="C578" t="inlineStr">
        <is>
          <t>0                      QD 0251000B  43</t>
        </is>
      </c>
      <c r="D578" t="inlineStr">
        <is>
          <t>Handbuch der organischen Chemie, zweites Ergänzungswerk : die Literatur von 1920-1929 umfassend / hrsg. von der Deutschen Chemischen Gesellschaft ; bearb. von Friedrich Richter. 1.-29. Bd. als Ergänzung des 1.-29. Bandes des Hauptwerkes.</t>
        </is>
      </c>
      <c r="E578" t="inlineStr">
        <is>
          <t>V.24</t>
        </is>
      </c>
      <c r="F578" t="inlineStr">
        <is>
          <t>Yes</t>
        </is>
      </c>
      <c r="G578" t="inlineStr">
        <is>
          <t>1</t>
        </is>
      </c>
      <c r="H578" t="inlineStr">
        <is>
          <t>No</t>
        </is>
      </c>
      <c r="I578" t="inlineStr">
        <is>
          <t>Yes</t>
        </is>
      </c>
      <c r="J578" t="inlineStr">
        <is>
          <t>0</t>
        </is>
      </c>
      <c r="K578" t="inlineStr">
        <is>
          <t>Beilstein, Friedrich Konrad, 1838-1906.</t>
        </is>
      </c>
      <c r="L578" t="inlineStr">
        <is>
          <t>Berlin : J. Springer, 1941-57.</t>
        </is>
      </c>
      <c r="M578" t="inlineStr">
        <is>
          <t>1941</t>
        </is>
      </c>
      <c r="O578" t="inlineStr">
        <is>
          <t>ger</t>
        </is>
      </c>
      <c r="P578" t="inlineStr">
        <is>
          <t xml:space="preserve">gw </t>
        </is>
      </c>
      <c r="R578" t="inlineStr">
        <is>
          <t xml:space="preserve">QD </t>
        </is>
      </c>
      <c r="S578" t="n">
        <v>1</v>
      </c>
      <c r="T578" t="n">
        <v>31</v>
      </c>
      <c r="U578" t="inlineStr">
        <is>
          <t>1998-07-28</t>
        </is>
      </c>
      <c r="V578" t="inlineStr">
        <is>
          <t>1998-07-28</t>
        </is>
      </c>
      <c r="W578" t="inlineStr">
        <is>
          <t>1997-06-10</t>
        </is>
      </c>
      <c r="X578" t="inlineStr">
        <is>
          <t>1997-06-10</t>
        </is>
      </c>
      <c r="Y578" t="n">
        <v>76</v>
      </c>
      <c r="Z578" t="n">
        <v>72</v>
      </c>
      <c r="AA578" t="n">
        <v>142</v>
      </c>
      <c r="AB578" t="n">
        <v>1</v>
      </c>
      <c r="AC578" t="n">
        <v>2</v>
      </c>
      <c r="AD578" t="n">
        <v>2</v>
      </c>
      <c r="AE578" t="n">
        <v>3</v>
      </c>
      <c r="AF578" t="n">
        <v>0</v>
      </c>
      <c r="AG578" t="n">
        <v>0</v>
      </c>
      <c r="AH578" t="n">
        <v>2</v>
      </c>
      <c r="AI578" t="n">
        <v>2</v>
      </c>
      <c r="AJ578" t="n">
        <v>1</v>
      </c>
      <c r="AK578" t="n">
        <v>1</v>
      </c>
      <c r="AL578" t="n">
        <v>0</v>
      </c>
      <c r="AM578" t="n">
        <v>1</v>
      </c>
      <c r="AN578" t="n">
        <v>0</v>
      </c>
      <c r="AO578" t="n">
        <v>0</v>
      </c>
      <c r="AP578" t="inlineStr">
        <is>
          <t>No</t>
        </is>
      </c>
      <c r="AQ578" t="inlineStr">
        <is>
          <t>No</t>
        </is>
      </c>
      <c r="AS578">
        <f>HYPERLINK("https://creighton-primo.hosted.exlibrisgroup.com/primo-explore/search?tab=default_tab&amp;search_scope=EVERYTHING&amp;vid=01CRU&amp;lang=en_US&amp;offset=0&amp;query=any,contains,991005370109702656","Catalog Record")</f>
        <v/>
      </c>
      <c r="AT578">
        <f>HYPERLINK("http://www.worldcat.org/oclc/2707352","WorldCat Record")</f>
        <v/>
      </c>
      <c r="AU578" t="inlineStr">
        <is>
          <t>4163096116:ger</t>
        </is>
      </c>
      <c r="AV578" t="inlineStr">
        <is>
          <t>2707352</t>
        </is>
      </c>
      <c r="AW578" t="inlineStr">
        <is>
          <t>991005370109702656</t>
        </is>
      </c>
      <c r="AX578" t="inlineStr">
        <is>
          <t>991005370109702656</t>
        </is>
      </c>
      <c r="AY578" t="inlineStr">
        <is>
          <t>2263428860002656</t>
        </is>
      </c>
      <c r="AZ578" t="inlineStr">
        <is>
          <t>BOOK</t>
        </is>
      </c>
      <c r="BC578" t="inlineStr">
        <is>
          <t>32285002793668</t>
        </is>
      </c>
      <c r="BD578" t="inlineStr">
        <is>
          <t>893508139</t>
        </is>
      </c>
    </row>
    <row r="579">
      <c r="A579" t="inlineStr">
        <is>
          <t>No</t>
        </is>
      </c>
      <c r="B579" t="inlineStr">
        <is>
          <t>QD251 .B43</t>
        </is>
      </c>
      <c r="C579" t="inlineStr">
        <is>
          <t>0                      QD 0251000B  43</t>
        </is>
      </c>
      <c r="D579" t="inlineStr">
        <is>
          <t>Handbuch der organischen Chemie, zweites Ergänzungswerk : die Literatur von 1920-1929 umfassend / hrsg. von der Deutschen Chemischen Gesellschaft ; bearb. von Friedrich Richter. 1.-29. Bd. als Ergänzung des 1.-29. Bandes des Hauptwerkes.</t>
        </is>
      </c>
      <c r="E579" t="inlineStr">
        <is>
          <t>V.27</t>
        </is>
      </c>
      <c r="F579" t="inlineStr">
        <is>
          <t>Yes</t>
        </is>
      </c>
      <c r="G579" t="inlineStr">
        <is>
          <t>1</t>
        </is>
      </c>
      <c r="H579" t="inlineStr">
        <is>
          <t>No</t>
        </is>
      </c>
      <c r="I579" t="inlineStr">
        <is>
          <t>Yes</t>
        </is>
      </c>
      <c r="J579" t="inlineStr">
        <is>
          <t>0</t>
        </is>
      </c>
      <c r="K579" t="inlineStr">
        <is>
          <t>Beilstein, Friedrich Konrad, 1838-1906.</t>
        </is>
      </c>
      <c r="L579" t="inlineStr">
        <is>
          <t>Berlin : J. Springer, 1941-57.</t>
        </is>
      </c>
      <c r="M579" t="inlineStr">
        <is>
          <t>1941</t>
        </is>
      </c>
      <c r="O579" t="inlineStr">
        <is>
          <t>ger</t>
        </is>
      </c>
      <c r="P579" t="inlineStr">
        <is>
          <t xml:space="preserve">gw </t>
        </is>
      </c>
      <c r="R579" t="inlineStr">
        <is>
          <t xml:space="preserve">QD </t>
        </is>
      </c>
      <c r="S579" t="n">
        <v>1</v>
      </c>
      <c r="T579" t="n">
        <v>31</v>
      </c>
      <c r="U579" t="inlineStr">
        <is>
          <t>1998-07-28</t>
        </is>
      </c>
      <c r="V579" t="inlineStr">
        <is>
          <t>1998-07-28</t>
        </is>
      </c>
      <c r="W579" t="inlineStr">
        <is>
          <t>1997-06-10</t>
        </is>
      </c>
      <c r="X579" t="inlineStr">
        <is>
          <t>1997-06-10</t>
        </is>
      </c>
      <c r="Y579" t="n">
        <v>76</v>
      </c>
      <c r="Z579" t="n">
        <v>72</v>
      </c>
      <c r="AA579" t="n">
        <v>142</v>
      </c>
      <c r="AB579" t="n">
        <v>1</v>
      </c>
      <c r="AC579" t="n">
        <v>2</v>
      </c>
      <c r="AD579" t="n">
        <v>2</v>
      </c>
      <c r="AE579" t="n">
        <v>3</v>
      </c>
      <c r="AF579" t="n">
        <v>0</v>
      </c>
      <c r="AG579" t="n">
        <v>0</v>
      </c>
      <c r="AH579" t="n">
        <v>2</v>
      </c>
      <c r="AI579" t="n">
        <v>2</v>
      </c>
      <c r="AJ579" t="n">
        <v>1</v>
      </c>
      <c r="AK579" t="n">
        <v>1</v>
      </c>
      <c r="AL579" t="n">
        <v>0</v>
      </c>
      <c r="AM579" t="n">
        <v>1</v>
      </c>
      <c r="AN579" t="n">
        <v>0</v>
      </c>
      <c r="AO579" t="n">
        <v>0</v>
      </c>
      <c r="AP579" t="inlineStr">
        <is>
          <t>No</t>
        </is>
      </c>
      <c r="AQ579" t="inlineStr">
        <is>
          <t>No</t>
        </is>
      </c>
      <c r="AS579">
        <f>HYPERLINK("https://creighton-primo.hosted.exlibrisgroup.com/primo-explore/search?tab=default_tab&amp;search_scope=EVERYTHING&amp;vid=01CRU&amp;lang=en_US&amp;offset=0&amp;query=any,contains,991005370109702656","Catalog Record")</f>
        <v/>
      </c>
      <c r="AT579">
        <f>HYPERLINK("http://www.worldcat.org/oclc/2707352","WorldCat Record")</f>
        <v/>
      </c>
      <c r="AU579" t="inlineStr">
        <is>
          <t>4163096116:ger</t>
        </is>
      </c>
      <c r="AV579" t="inlineStr">
        <is>
          <t>2707352</t>
        </is>
      </c>
      <c r="AW579" t="inlineStr">
        <is>
          <t>991005370109702656</t>
        </is>
      </c>
      <c r="AX579" t="inlineStr">
        <is>
          <t>991005370109702656</t>
        </is>
      </c>
      <c r="AY579" t="inlineStr">
        <is>
          <t>2263428860002656</t>
        </is>
      </c>
      <c r="AZ579" t="inlineStr">
        <is>
          <t>BOOK</t>
        </is>
      </c>
      <c r="BC579" t="inlineStr">
        <is>
          <t>32285002793692</t>
        </is>
      </c>
      <c r="BD579" t="inlineStr">
        <is>
          <t>893508137</t>
        </is>
      </c>
    </row>
    <row r="580">
      <c r="A580" t="inlineStr">
        <is>
          <t>No</t>
        </is>
      </c>
      <c r="B580" t="inlineStr">
        <is>
          <t>QD251 .B43</t>
        </is>
      </c>
      <c r="C580" t="inlineStr">
        <is>
          <t>0                      QD 0251000B  43</t>
        </is>
      </c>
      <c r="D580" t="inlineStr">
        <is>
          <t>Handbuch der organischen Chemie, zweites Ergänzungswerk : die Literatur von 1920-1929 umfassend / hrsg. von der Deutschen Chemischen Gesellschaft ; bearb. von Friedrich Richter. 1.-29. Bd. als Ergänzung des 1.-29. Bandes des Hauptwerkes.</t>
        </is>
      </c>
      <c r="E580" t="inlineStr">
        <is>
          <t>V.25</t>
        </is>
      </c>
      <c r="F580" t="inlineStr">
        <is>
          <t>Yes</t>
        </is>
      </c>
      <c r="G580" t="inlineStr">
        <is>
          <t>1</t>
        </is>
      </c>
      <c r="H580" t="inlineStr">
        <is>
          <t>No</t>
        </is>
      </c>
      <c r="I580" t="inlineStr">
        <is>
          <t>Yes</t>
        </is>
      </c>
      <c r="J580" t="inlineStr">
        <is>
          <t>0</t>
        </is>
      </c>
      <c r="K580" t="inlineStr">
        <is>
          <t>Beilstein, Friedrich Konrad, 1838-1906.</t>
        </is>
      </c>
      <c r="L580" t="inlineStr">
        <is>
          <t>Berlin : J. Springer, 1941-57.</t>
        </is>
      </c>
      <c r="M580" t="inlineStr">
        <is>
          <t>1941</t>
        </is>
      </c>
      <c r="O580" t="inlineStr">
        <is>
          <t>ger</t>
        </is>
      </c>
      <c r="P580" t="inlineStr">
        <is>
          <t xml:space="preserve">gw </t>
        </is>
      </c>
      <c r="R580" t="inlineStr">
        <is>
          <t xml:space="preserve">QD </t>
        </is>
      </c>
      <c r="S580" t="n">
        <v>1</v>
      </c>
      <c r="T580" t="n">
        <v>31</v>
      </c>
      <c r="U580" t="inlineStr">
        <is>
          <t>1998-07-28</t>
        </is>
      </c>
      <c r="V580" t="inlineStr">
        <is>
          <t>1998-07-28</t>
        </is>
      </c>
      <c r="W580" t="inlineStr">
        <is>
          <t>1997-06-10</t>
        </is>
      </c>
      <c r="X580" t="inlineStr">
        <is>
          <t>1997-06-10</t>
        </is>
      </c>
      <c r="Y580" t="n">
        <v>76</v>
      </c>
      <c r="Z580" t="n">
        <v>72</v>
      </c>
      <c r="AA580" t="n">
        <v>142</v>
      </c>
      <c r="AB580" t="n">
        <v>1</v>
      </c>
      <c r="AC580" t="n">
        <v>2</v>
      </c>
      <c r="AD580" t="n">
        <v>2</v>
      </c>
      <c r="AE580" t="n">
        <v>3</v>
      </c>
      <c r="AF580" t="n">
        <v>0</v>
      </c>
      <c r="AG580" t="n">
        <v>0</v>
      </c>
      <c r="AH580" t="n">
        <v>2</v>
      </c>
      <c r="AI580" t="n">
        <v>2</v>
      </c>
      <c r="AJ580" t="n">
        <v>1</v>
      </c>
      <c r="AK580" t="n">
        <v>1</v>
      </c>
      <c r="AL580" t="n">
        <v>0</v>
      </c>
      <c r="AM580" t="n">
        <v>1</v>
      </c>
      <c r="AN580" t="n">
        <v>0</v>
      </c>
      <c r="AO580" t="n">
        <v>0</v>
      </c>
      <c r="AP580" t="inlineStr">
        <is>
          <t>No</t>
        </is>
      </c>
      <c r="AQ580" t="inlineStr">
        <is>
          <t>No</t>
        </is>
      </c>
      <c r="AS580">
        <f>HYPERLINK("https://creighton-primo.hosted.exlibrisgroup.com/primo-explore/search?tab=default_tab&amp;search_scope=EVERYTHING&amp;vid=01CRU&amp;lang=en_US&amp;offset=0&amp;query=any,contains,991005370109702656","Catalog Record")</f>
        <v/>
      </c>
      <c r="AT580">
        <f>HYPERLINK("http://www.worldcat.org/oclc/2707352","WorldCat Record")</f>
        <v/>
      </c>
      <c r="AU580" t="inlineStr">
        <is>
          <t>4163096116:ger</t>
        </is>
      </c>
      <c r="AV580" t="inlineStr">
        <is>
          <t>2707352</t>
        </is>
      </c>
      <c r="AW580" t="inlineStr">
        <is>
          <t>991005370109702656</t>
        </is>
      </c>
      <c r="AX580" t="inlineStr">
        <is>
          <t>991005370109702656</t>
        </is>
      </c>
      <c r="AY580" t="inlineStr">
        <is>
          <t>2263428860002656</t>
        </is>
      </c>
      <c r="AZ580" t="inlineStr">
        <is>
          <t>BOOK</t>
        </is>
      </c>
      <c r="BC580" t="inlineStr">
        <is>
          <t>32285002793676</t>
        </is>
      </c>
      <c r="BD580" t="inlineStr">
        <is>
          <t>893521049</t>
        </is>
      </c>
    </row>
    <row r="581">
      <c r="A581" t="inlineStr">
        <is>
          <t>No</t>
        </is>
      </c>
      <c r="B581" t="inlineStr">
        <is>
          <t>QD251 .B43</t>
        </is>
      </c>
      <c r="C581" t="inlineStr">
        <is>
          <t>0                      QD 0251000B  43</t>
        </is>
      </c>
      <c r="D581" t="inlineStr">
        <is>
          <t>Handbuch der organischen Chemie, zweites Ergänzungswerk : die Literatur von 1920-1929 umfassend / hrsg. von der Deutschen Chemischen Gesellschaft ; bearb. von Friedrich Richter. 1.-29. Bd. als Ergänzung des 1.-29. Bandes des Hauptwerkes.</t>
        </is>
      </c>
      <c r="E581" t="inlineStr">
        <is>
          <t>V.1</t>
        </is>
      </c>
      <c r="F581" t="inlineStr">
        <is>
          <t>Yes</t>
        </is>
      </c>
      <c r="G581" t="inlineStr">
        <is>
          <t>1</t>
        </is>
      </c>
      <c r="H581" t="inlineStr">
        <is>
          <t>No</t>
        </is>
      </c>
      <c r="I581" t="inlineStr">
        <is>
          <t>Yes</t>
        </is>
      </c>
      <c r="J581" t="inlineStr">
        <is>
          <t>0</t>
        </is>
      </c>
      <c r="K581" t="inlineStr">
        <is>
          <t>Beilstein, Friedrich Konrad, 1838-1906.</t>
        </is>
      </c>
      <c r="L581" t="inlineStr">
        <is>
          <t>Berlin : J. Springer, 1941-57.</t>
        </is>
      </c>
      <c r="M581" t="inlineStr">
        <is>
          <t>1941</t>
        </is>
      </c>
      <c r="O581" t="inlineStr">
        <is>
          <t>ger</t>
        </is>
      </c>
      <c r="P581" t="inlineStr">
        <is>
          <t xml:space="preserve">gw </t>
        </is>
      </c>
      <c r="R581" t="inlineStr">
        <is>
          <t xml:space="preserve">QD </t>
        </is>
      </c>
      <c r="S581" t="n">
        <v>1</v>
      </c>
      <c r="T581" t="n">
        <v>31</v>
      </c>
      <c r="U581" t="inlineStr">
        <is>
          <t>1998-07-27</t>
        </is>
      </c>
      <c r="V581" t="inlineStr">
        <is>
          <t>1998-07-28</t>
        </is>
      </c>
      <c r="W581" t="inlineStr">
        <is>
          <t>1997-06-10</t>
        </is>
      </c>
      <c r="X581" t="inlineStr">
        <is>
          <t>1997-06-10</t>
        </is>
      </c>
      <c r="Y581" t="n">
        <v>76</v>
      </c>
      <c r="Z581" t="n">
        <v>72</v>
      </c>
      <c r="AA581" t="n">
        <v>142</v>
      </c>
      <c r="AB581" t="n">
        <v>1</v>
      </c>
      <c r="AC581" t="n">
        <v>2</v>
      </c>
      <c r="AD581" t="n">
        <v>2</v>
      </c>
      <c r="AE581" t="n">
        <v>3</v>
      </c>
      <c r="AF581" t="n">
        <v>0</v>
      </c>
      <c r="AG581" t="n">
        <v>0</v>
      </c>
      <c r="AH581" t="n">
        <v>2</v>
      </c>
      <c r="AI581" t="n">
        <v>2</v>
      </c>
      <c r="AJ581" t="n">
        <v>1</v>
      </c>
      <c r="AK581" t="n">
        <v>1</v>
      </c>
      <c r="AL581" t="n">
        <v>0</v>
      </c>
      <c r="AM581" t="n">
        <v>1</v>
      </c>
      <c r="AN581" t="n">
        <v>0</v>
      </c>
      <c r="AO581" t="n">
        <v>0</v>
      </c>
      <c r="AP581" t="inlineStr">
        <is>
          <t>No</t>
        </is>
      </c>
      <c r="AQ581" t="inlineStr">
        <is>
          <t>No</t>
        </is>
      </c>
      <c r="AS581">
        <f>HYPERLINK("https://creighton-primo.hosted.exlibrisgroup.com/primo-explore/search?tab=default_tab&amp;search_scope=EVERYTHING&amp;vid=01CRU&amp;lang=en_US&amp;offset=0&amp;query=any,contains,991005370109702656","Catalog Record")</f>
        <v/>
      </c>
      <c r="AT581">
        <f>HYPERLINK("http://www.worldcat.org/oclc/2707352","WorldCat Record")</f>
        <v/>
      </c>
      <c r="AU581" t="inlineStr">
        <is>
          <t>4163096116:ger</t>
        </is>
      </c>
      <c r="AV581" t="inlineStr">
        <is>
          <t>2707352</t>
        </is>
      </c>
      <c r="AW581" t="inlineStr">
        <is>
          <t>991005370109702656</t>
        </is>
      </c>
      <c r="AX581" t="inlineStr">
        <is>
          <t>991005370109702656</t>
        </is>
      </c>
      <c r="AY581" t="inlineStr">
        <is>
          <t>2263428860002656</t>
        </is>
      </c>
      <c r="AZ581" t="inlineStr">
        <is>
          <t>BOOK</t>
        </is>
      </c>
      <c r="BC581" t="inlineStr">
        <is>
          <t>32285002793445</t>
        </is>
      </c>
      <c r="BD581" t="inlineStr">
        <is>
          <t>893521053</t>
        </is>
      </c>
    </row>
    <row r="582">
      <c r="A582" t="inlineStr">
        <is>
          <t>No</t>
        </is>
      </c>
      <c r="B582" t="inlineStr">
        <is>
          <t>QD251 .B43</t>
        </is>
      </c>
      <c r="C582" t="inlineStr">
        <is>
          <t>0                      QD 0251000B  43</t>
        </is>
      </c>
      <c r="D582" t="inlineStr">
        <is>
          <t>Handbuch der organischen Chemie, zweites Ergänzungswerk : die Literatur von 1920-1929 umfassend / hrsg. von der Deutschen Chemischen Gesellschaft ; bearb. von Friedrich Richter. 1.-29. Bd. als Ergänzung des 1.-29. Bandes des Hauptwerkes.</t>
        </is>
      </c>
      <c r="E582" t="inlineStr">
        <is>
          <t>V.26</t>
        </is>
      </c>
      <c r="F582" t="inlineStr">
        <is>
          <t>Yes</t>
        </is>
      </c>
      <c r="G582" t="inlineStr">
        <is>
          <t>1</t>
        </is>
      </c>
      <c r="H582" t="inlineStr">
        <is>
          <t>No</t>
        </is>
      </c>
      <c r="I582" t="inlineStr">
        <is>
          <t>Yes</t>
        </is>
      </c>
      <c r="J582" t="inlineStr">
        <is>
          <t>0</t>
        </is>
      </c>
      <c r="K582" t="inlineStr">
        <is>
          <t>Beilstein, Friedrich Konrad, 1838-1906.</t>
        </is>
      </c>
      <c r="L582" t="inlineStr">
        <is>
          <t>Berlin : J. Springer, 1941-57.</t>
        </is>
      </c>
      <c r="M582" t="inlineStr">
        <is>
          <t>1941</t>
        </is>
      </c>
      <c r="O582" t="inlineStr">
        <is>
          <t>ger</t>
        </is>
      </c>
      <c r="P582" t="inlineStr">
        <is>
          <t xml:space="preserve">gw </t>
        </is>
      </c>
      <c r="R582" t="inlineStr">
        <is>
          <t xml:space="preserve">QD </t>
        </is>
      </c>
      <c r="S582" t="n">
        <v>1</v>
      </c>
      <c r="T582" t="n">
        <v>31</v>
      </c>
      <c r="U582" t="inlineStr">
        <is>
          <t>1998-07-28</t>
        </is>
      </c>
      <c r="V582" t="inlineStr">
        <is>
          <t>1998-07-28</t>
        </is>
      </c>
      <c r="W582" t="inlineStr">
        <is>
          <t>1997-06-10</t>
        </is>
      </c>
      <c r="X582" t="inlineStr">
        <is>
          <t>1997-06-10</t>
        </is>
      </c>
      <c r="Y582" t="n">
        <v>76</v>
      </c>
      <c r="Z582" t="n">
        <v>72</v>
      </c>
      <c r="AA582" t="n">
        <v>142</v>
      </c>
      <c r="AB582" t="n">
        <v>1</v>
      </c>
      <c r="AC582" t="n">
        <v>2</v>
      </c>
      <c r="AD582" t="n">
        <v>2</v>
      </c>
      <c r="AE582" t="n">
        <v>3</v>
      </c>
      <c r="AF582" t="n">
        <v>0</v>
      </c>
      <c r="AG582" t="n">
        <v>0</v>
      </c>
      <c r="AH582" t="n">
        <v>2</v>
      </c>
      <c r="AI582" t="n">
        <v>2</v>
      </c>
      <c r="AJ582" t="n">
        <v>1</v>
      </c>
      <c r="AK582" t="n">
        <v>1</v>
      </c>
      <c r="AL582" t="n">
        <v>0</v>
      </c>
      <c r="AM582" t="n">
        <v>1</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HYPERLINK("https://creighton-primo.hosted.exlibrisgroup.com/primo-explore/search?tab=default_tab&amp;search_scope=EVERYTHING&amp;vid=01CRU&amp;lang=en_US&amp;offset=0&amp;query=any,contains,991005370109702656","Catalog Record")</f>
        <v/>
      </c>
      <c r="AT582">
        <f>HYPERLINK("http://www.worldcat.org/oclc/2707352","WorldCat Record")</f>
        <v/>
      </c>
      <c r="AU582" t="inlineStr">
        <is>
          <t>4163096116:ger</t>
        </is>
      </c>
      <c r="AV582" t="inlineStr">
        <is>
          <t>2707352</t>
        </is>
      </c>
      <c r="AW582" t="inlineStr">
        <is>
          <t>991005370109702656</t>
        </is>
      </c>
      <c r="AX582" t="inlineStr">
        <is>
          <t>991005370109702656</t>
        </is>
      </c>
      <c r="AY582" t="inlineStr">
        <is>
          <t>2263428860002656</t>
        </is>
      </c>
      <c r="AZ582" t="inlineStr">
        <is>
          <t>BOOK</t>
        </is>
      </c>
      <c r="BC582" t="inlineStr">
        <is>
          <t>32285002793684</t>
        </is>
      </c>
      <c r="BD582" t="inlineStr">
        <is>
          <t>893508138</t>
        </is>
      </c>
    </row>
    <row r="583">
      <c r="A583" t="inlineStr">
        <is>
          <t>No</t>
        </is>
      </c>
      <c r="B583" t="inlineStr">
        <is>
          <t>QD251 .B43</t>
        </is>
      </c>
      <c r="C583" t="inlineStr">
        <is>
          <t>0                      QD 0251000B  43</t>
        </is>
      </c>
      <c r="D583" t="inlineStr">
        <is>
          <t>Handbuch der organischen Chemie, zweites Ergänzungswerk : die Literatur von 1920-1929 umfassend / hrsg. von der Deutschen Chemischen Gesellschaft ; bearb. von Friedrich Richter. 1.-29. Bd. als Ergänzung des 1.-29. Bandes des Hauptwerkes.</t>
        </is>
      </c>
      <c r="E583" t="inlineStr">
        <is>
          <t>V.29 PT.2</t>
        </is>
      </c>
      <c r="F583" t="inlineStr">
        <is>
          <t>Yes</t>
        </is>
      </c>
      <c r="G583" t="inlineStr">
        <is>
          <t>1</t>
        </is>
      </c>
      <c r="H583" t="inlineStr">
        <is>
          <t>No</t>
        </is>
      </c>
      <c r="I583" t="inlineStr">
        <is>
          <t>Yes</t>
        </is>
      </c>
      <c r="J583" t="inlineStr">
        <is>
          <t>0</t>
        </is>
      </c>
      <c r="K583" t="inlineStr">
        <is>
          <t>Beilstein, Friedrich Konrad, 1838-1906.</t>
        </is>
      </c>
      <c r="L583" t="inlineStr">
        <is>
          <t>Berlin : J. Springer, 1941-57.</t>
        </is>
      </c>
      <c r="M583" t="inlineStr">
        <is>
          <t>1941</t>
        </is>
      </c>
      <c r="O583" t="inlineStr">
        <is>
          <t>ger</t>
        </is>
      </c>
      <c r="P583" t="inlineStr">
        <is>
          <t xml:space="preserve">gw </t>
        </is>
      </c>
      <c r="R583" t="inlineStr">
        <is>
          <t xml:space="preserve">QD </t>
        </is>
      </c>
      <c r="S583" t="n">
        <v>1</v>
      </c>
      <c r="T583" t="n">
        <v>31</v>
      </c>
      <c r="U583" t="inlineStr">
        <is>
          <t>1998-07-28</t>
        </is>
      </c>
      <c r="V583" t="inlineStr">
        <is>
          <t>1998-07-28</t>
        </is>
      </c>
      <c r="W583" t="inlineStr">
        <is>
          <t>1997-06-10</t>
        </is>
      </c>
      <c r="X583" t="inlineStr">
        <is>
          <t>1997-06-10</t>
        </is>
      </c>
      <c r="Y583" t="n">
        <v>76</v>
      </c>
      <c r="Z583" t="n">
        <v>72</v>
      </c>
      <c r="AA583" t="n">
        <v>142</v>
      </c>
      <c r="AB583" t="n">
        <v>1</v>
      </c>
      <c r="AC583" t="n">
        <v>2</v>
      </c>
      <c r="AD583" t="n">
        <v>2</v>
      </c>
      <c r="AE583" t="n">
        <v>3</v>
      </c>
      <c r="AF583" t="n">
        <v>0</v>
      </c>
      <c r="AG583" t="n">
        <v>0</v>
      </c>
      <c r="AH583" t="n">
        <v>2</v>
      </c>
      <c r="AI583" t="n">
        <v>2</v>
      </c>
      <c r="AJ583" t="n">
        <v>1</v>
      </c>
      <c r="AK583" t="n">
        <v>1</v>
      </c>
      <c r="AL583" t="n">
        <v>0</v>
      </c>
      <c r="AM583" t="n">
        <v>1</v>
      </c>
      <c r="AN583" t="n">
        <v>0</v>
      </c>
      <c r="AO583" t="n">
        <v>0</v>
      </c>
      <c r="AP583" t="inlineStr">
        <is>
          <t>No</t>
        </is>
      </c>
      <c r="AQ583" t="inlineStr">
        <is>
          <t>No</t>
        </is>
      </c>
      <c r="AS583">
        <f>HYPERLINK("https://creighton-primo.hosted.exlibrisgroup.com/primo-explore/search?tab=default_tab&amp;search_scope=EVERYTHING&amp;vid=01CRU&amp;lang=en_US&amp;offset=0&amp;query=any,contains,991005370109702656","Catalog Record")</f>
        <v/>
      </c>
      <c r="AT583">
        <f>HYPERLINK("http://www.worldcat.org/oclc/2707352","WorldCat Record")</f>
        <v/>
      </c>
      <c r="AU583" t="inlineStr">
        <is>
          <t>4163096116:ger</t>
        </is>
      </c>
      <c r="AV583" t="inlineStr">
        <is>
          <t>2707352</t>
        </is>
      </c>
      <c r="AW583" t="inlineStr">
        <is>
          <t>991005370109702656</t>
        </is>
      </c>
      <c r="AX583" t="inlineStr">
        <is>
          <t>991005370109702656</t>
        </is>
      </c>
      <c r="AY583" t="inlineStr">
        <is>
          <t>2263428860002656</t>
        </is>
      </c>
      <c r="AZ583" t="inlineStr">
        <is>
          <t>BOOK</t>
        </is>
      </c>
      <c r="BC583" t="inlineStr">
        <is>
          <t>32285002793734</t>
        </is>
      </c>
      <c r="BD583" t="inlineStr">
        <is>
          <t>893536603</t>
        </is>
      </c>
    </row>
    <row r="584">
      <c r="A584" t="inlineStr">
        <is>
          <t>No</t>
        </is>
      </c>
      <c r="B584" t="inlineStr">
        <is>
          <t>QD251 .B43</t>
        </is>
      </c>
      <c r="C584" t="inlineStr">
        <is>
          <t>0                      QD 0251000B  43</t>
        </is>
      </c>
      <c r="D584" t="inlineStr">
        <is>
          <t>Handbuch der organischen Chemie, zweites Ergänzungswerk : die Literatur von 1920-1929 umfassend / hrsg. von der Deutschen Chemischen Gesellschaft ; bearb. von Friedrich Richter. 1.-29. Bd. als Ergänzung des 1.-29. Bandes des Hauptwerkes.</t>
        </is>
      </c>
      <c r="E584" t="inlineStr">
        <is>
          <t>V.22</t>
        </is>
      </c>
      <c r="F584" t="inlineStr">
        <is>
          <t>Yes</t>
        </is>
      </c>
      <c r="G584" t="inlineStr">
        <is>
          <t>1</t>
        </is>
      </c>
      <c r="H584" t="inlineStr">
        <is>
          <t>No</t>
        </is>
      </c>
      <c r="I584" t="inlineStr">
        <is>
          <t>Yes</t>
        </is>
      </c>
      <c r="J584" t="inlineStr">
        <is>
          <t>0</t>
        </is>
      </c>
      <c r="K584" t="inlineStr">
        <is>
          <t>Beilstein, Friedrich Konrad, 1838-1906.</t>
        </is>
      </c>
      <c r="L584" t="inlineStr">
        <is>
          <t>Berlin : J. Springer, 1941-57.</t>
        </is>
      </c>
      <c r="M584" t="inlineStr">
        <is>
          <t>1941</t>
        </is>
      </c>
      <c r="O584" t="inlineStr">
        <is>
          <t>ger</t>
        </is>
      </c>
      <c r="P584" t="inlineStr">
        <is>
          <t xml:space="preserve">gw </t>
        </is>
      </c>
      <c r="R584" t="inlineStr">
        <is>
          <t xml:space="preserve">QD </t>
        </is>
      </c>
      <c r="S584" t="n">
        <v>1</v>
      </c>
      <c r="T584" t="n">
        <v>31</v>
      </c>
      <c r="U584" t="inlineStr">
        <is>
          <t>1998-07-28</t>
        </is>
      </c>
      <c r="V584" t="inlineStr">
        <is>
          <t>1998-07-28</t>
        </is>
      </c>
      <c r="W584" t="inlineStr">
        <is>
          <t>1997-06-10</t>
        </is>
      </c>
      <c r="X584" t="inlineStr">
        <is>
          <t>1997-06-10</t>
        </is>
      </c>
      <c r="Y584" t="n">
        <v>76</v>
      </c>
      <c r="Z584" t="n">
        <v>72</v>
      </c>
      <c r="AA584" t="n">
        <v>142</v>
      </c>
      <c r="AB584" t="n">
        <v>1</v>
      </c>
      <c r="AC584" t="n">
        <v>2</v>
      </c>
      <c r="AD584" t="n">
        <v>2</v>
      </c>
      <c r="AE584" t="n">
        <v>3</v>
      </c>
      <c r="AF584" t="n">
        <v>0</v>
      </c>
      <c r="AG584" t="n">
        <v>0</v>
      </c>
      <c r="AH584" t="n">
        <v>2</v>
      </c>
      <c r="AI584" t="n">
        <v>2</v>
      </c>
      <c r="AJ584" t="n">
        <v>1</v>
      </c>
      <c r="AK584" t="n">
        <v>1</v>
      </c>
      <c r="AL584" t="n">
        <v>0</v>
      </c>
      <c r="AM584" t="n">
        <v>1</v>
      </c>
      <c r="AN584" t="n">
        <v>0</v>
      </c>
      <c r="AO584" t="n">
        <v>0</v>
      </c>
      <c r="AP584" t="inlineStr">
        <is>
          <t>No</t>
        </is>
      </c>
      <c r="AQ584" t="inlineStr">
        <is>
          <t>No</t>
        </is>
      </c>
      <c r="AS584">
        <f>HYPERLINK("https://creighton-primo.hosted.exlibrisgroup.com/primo-explore/search?tab=default_tab&amp;search_scope=EVERYTHING&amp;vid=01CRU&amp;lang=en_US&amp;offset=0&amp;query=any,contains,991005370109702656","Catalog Record")</f>
        <v/>
      </c>
      <c r="AT584">
        <f>HYPERLINK("http://www.worldcat.org/oclc/2707352","WorldCat Record")</f>
        <v/>
      </c>
      <c r="AU584" t="inlineStr">
        <is>
          <t>4163096116:ger</t>
        </is>
      </c>
      <c r="AV584" t="inlineStr">
        <is>
          <t>2707352</t>
        </is>
      </c>
      <c r="AW584" t="inlineStr">
        <is>
          <t>991005370109702656</t>
        </is>
      </c>
      <c r="AX584" t="inlineStr">
        <is>
          <t>991005370109702656</t>
        </is>
      </c>
      <c r="AY584" t="inlineStr">
        <is>
          <t>2263428860002656</t>
        </is>
      </c>
      <c r="AZ584" t="inlineStr">
        <is>
          <t>BOOK</t>
        </is>
      </c>
      <c r="BC584" t="inlineStr">
        <is>
          <t>32285002793643</t>
        </is>
      </c>
      <c r="BD584" t="inlineStr">
        <is>
          <t>893508140</t>
        </is>
      </c>
    </row>
    <row r="585">
      <c r="A585" t="inlineStr">
        <is>
          <t>No</t>
        </is>
      </c>
      <c r="B585" t="inlineStr">
        <is>
          <t>QD251 .B43</t>
        </is>
      </c>
      <c r="C585" t="inlineStr">
        <is>
          <t>0                      QD 0251000B  43</t>
        </is>
      </c>
      <c r="D585" t="inlineStr">
        <is>
          <t>Handbuch der organischen Chemie, zweites Ergänzungswerk : die Literatur von 1920-1929 umfassend / hrsg. von der Deutschen Chemischen Gesellschaft ; bearb. von Friedrich Richter. 1.-29. Bd. als Ergänzung des 1.-29. Bandes des Hauptwerkes.</t>
        </is>
      </c>
      <c r="E585" t="inlineStr">
        <is>
          <t>V.3-4</t>
        </is>
      </c>
      <c r="F585" t="inlineStr">
        <is>
          <t>Yes</t>
        </is>
      </c>
      <c r="G585" t="inlineStr">
        <is>
          <t>1</t>
        </is>
      </c>
      <c r="H585" t="inlineStr">
        <is>
          <t>No</t>
        </is>
      </c>
      <c r="I585" t="inlineStr">
        <is>
          <t>Yes</t>
        </is>
      </c>
      <c r="J585" t="inlineStr">
        <is>
          <t>0</t>
        </is>
      </c>
      <c r="K585" t="inlineStr">
        <is>
          <t>Beilstein, Friedrich Konrad, 1838-1906.</t>
        </is>
      </c>
      <c r="L585" t="inlineStr">
        <is>
          <t>Berlin : J. Springer, 1941-57.</t>
        </is>
      </c>
      <c r="M585" t="inlineStr">
        <is>
          <t>1941</t>
        </is>
      </c>
      <c r="O585" t="inlineStr">
        <is>
          <t>ger</t>
        </is>
      </c>
      <c r="P585" t="inlineStr">
        <is>
          <t xml:space="preserve">gw </t>
        </is>
      </c>
      <c r="R585" t="inlineStr">
        <is>
          <t xml:space="preserve">QD </t>
        </is>
      </c>
      <c r="S585" t="n">
        <v>1</v>
      </c>
      <c r="T585" t="n">
        <v>31</v>
      </c>
      <c r="U585" t="inlineStr">
        <is>
          <t>1998-07-28</t>
        </is>
      </c>
      <c r="V585" t="inlineStr">
        <is>
          <t>1998-07-28</t>
        </is>
      </c>
      <c r="W585" t="inlineStr">
        <is>
          <t>1997-06-10</t>
        </is>
      </c>
      <c r="X585" t="inlineStr">
        <is>
          <t>1997-06-10</t>
        </is>
      </c>
      <c r="Y585" t="n">
        <v>76</v>
      </c>
      <c r="Z585" t="n">
        <v>72</v>
      </c>
      <c r="AA585" t="n">
        <v>142</v>
      </c>
      <c r="AB585" t="n">
        <v>1</v>
      </c>
      <c r="AC585" t="n">
        <v>2</v>
      </c>
      <c r="AD585" t="n">
        <v>2</v>
      </c>
      <c r="AE585" t="n">
        <v>3</v>
      </c>
      <c r="AF585" t="n">
        <v>0</v>
      </c>
      <c r="AG585" t="n">
        <v>0</v>
      </c>
      <c r="AH585" t="n">
        <v>2</v>
      </c>
      <c r="AI585" t="n">
        <v>2</v>
      </c>
      <c r="AJ585" t="n">
        <v>1</v>
      </c>
      <c r="AK585" t="n">
        <v>1</v>
      </c>
      <c r="AL585" t="n">
        <v>0</v>
      </c>
      <c r="AM585" t="n">
        <v>1</v>
      </c>
      <c r="AN585" t="n">
        <v>0</v>
      </c>
      <c r="AO585" t="n">
        <v>0</v>
      </c>
      <c r="AP585" t="inlineStr">
        <is>
          <t>No</t>
        </is>
      </c>
      <c r="AQ585" t="inlineStr">
        <is>
          <t>No</t>
        </is>
      </c>
      <c r="AS585">
        <f>HYPERLINK("https://creighton-primo.hosted.exlibrisgroup.com/primo-explore/search?tab=default_tab&amp;search_scope=EVERYTHING&amp;vid=01CRU&amp;lang=en_US&amp;offset=0&amp;query=any,contains,991005370109702656","Catalog Record")</f>
        <v/>
      </c>
      <c r="AT585">
        <f>HYPERLINK("http://www.worldcat.org/oclc/2707352","WorldCat Record")</f>
        <v/>
      </c>
      <c r="AU585" t="inlineStr">
        <is>
          <t>4163096116:ger</t>
        </is>
      </c>
      <c r="AV585" t="inlineStr">
        <is>
          <t>2707352</t>
        </is>
      </c>
      <c r="AW585" t="inlineStr">
        <is>
          <t>991005370109702656</t>
        </is>
      </c>
      <c r="AX585" t="inlineStr">
        <is>
          <t>991005370109702656</t>
        </is>
      </c>
      <c r="AY585" t="inlineStr">
        <is>
          <t>2263428860002656</t>
        </is>
      </c>
      <c r="AZ585" t="inlineStr">
        <is>
          <t>BOOK</t>
        </is>
      </c>
      <c r="BC585" t="inlineStr">
        <is>
          <t>32285002793460</t>
        </is>
      </c>
      <c r="BD585" t="inlineStr">
        <is>
          <t>893527502</t>
        </is>
      </c>
    </row>
    <row r="586">
      <c r="A586" t="inlineStr">
        <is>
          <t>No</t>
        </is>
      </c>
      <c r="B586" t="inlineStr">
        <is>
          <t>QD251 .B43</t>
        </is>
      </c>
      <c r="C586" t="inlineStr">
        <is>
          <t>0                      QD 0251000B  43</t>
        </is>
      </c>
      <c r="D586" t="inlineStr">
        <is>
          <t>Handbuch der organischen Chemie, zweites Ergänzungswerk : die Literatur von 1920-1929 umfassend / hrsg. von der Deutschen Chemischen Gesellschaft ; bearb. von Friedrich Richter. 1.-29. Bd. als Ergänzung des 1.-29. Bandes des Hauptwerkes.</t>
        </is>
      </c>
      <c r="E586" t="inlineStr">
        <is>
          <t>V.15</t>
        </is>
      </c>
      <c r="F586" t="inlineStr">
        <is>
          <t>Yes</t>
        </is>
      </c>
      <c r="G586" t="inlineStr">
        <is>
          <t>1</t>
        </is>
      </c>
      <c r="H586" t="inlineStr">
        <is>
          <t>No</t>
        </is>
      </c>
      <c r="I586" t="inlineStr">
        <is>
          <t>Yes</t>
        </is>
      </c>
      <c r="J586" t="inlineStr">
        <is>
          <t>0</t>
        </is>
      </c>
      <c r="K586" t="inlineStr">
        <is>
          <t>Beilstein, Friedrich Konrad, 1838-1906.</t>
        </is>
      </c>
      <c r="L586" t="inlineStr">
        <is>
          <t>Berlin : J. Springer, 1941-57.</t>
        </is>
      </c>
      <c r="M586" t="inlineStr">
        <is>
          <t>1941</t>
        </is>
      </c>
      <c r="O586" t="inlineStr">
        <is>
          <t>ger</t>
        </is>
      </c>
      <c r="P586" t="inlineStr">
        <is>
          <t xml:space="preserve">gw </t>
        </is>
      </c>
      <c r="R586" t="inlineStr">
        <is>
          <t xml:space="preserve">QD </t>
        </is>
      </c>
      <c r="S586" t="n">
        <v>1</v>
      </c>
      <c r="T586" t="n">
        <v>31</v>
      </c>
      <c r="U586" t="inlineStr">
        <is>
          <t>1998-07-28</t>
        </is>
      </c>
      <c r="V586" t="inlineStr">
        <is>
          <t>1998-07-28</t>
        </is>
      </c>
      <c r="W586" t="inlineStr">
        <is>
          <t>1997-06-10</t>
        </is>
      </c>
      <c r="X586" t="inlineStr">
        <is>
          <t>1997-06-10</t>
        </is>
      </c>
      <c r="Y586" t="n">
        <v>76</v>
      </c>
      <c r="Z586" t="n">
        <v>72</v>
      </c>
      <c r="AA586" t="n">
        <v>142</v>
      </c>
      <c r="AB586" t="n">
        <v>1</v>
      </c>
      <c r="AC586" t="n">
        <v>2</v>
      </c>
      <c r="AD586" t="n">
        <v>2</v>
      </c>
      <c r="AE586" t="n">
        <v>3</v>
      </c>
      <c r="AF586" t="n">
        <v>0</v>
      </c>
      <c r="AG586" t="n">
        <v>0</v>
      </c>
      <c r="AH586" t="n">
        <v>2</v>
      </c>
      <c r="AI586" t="n">
        <v>2</v>
      </c>
      <c r="AJ586" t="n">
        <v>1</v>
      </c>
      <c r="AK586" t="n">
        <v>1</v>
      </c>
      <c r="AL586" t="n">
        <v>0</v>
      </c>
      <c r="AM586" t="n">
        <v>1</v>
      </c>
      <c r="AN586" t="n">
        <v>0</v>
      </c>
      <c r="AO586" t="n">
        <v>0</v>
      </c>
      <c r="AP586" t="inlineStr">
        <is>
          <t>No</t>
        </is>
      </c>
      <c r="AQ586" t="inlineStr">
        <is>
          <t>No</t>
        </is>
      </c>
      <c r="AS586">
        <f>HYPERLINK("https://creighton-primo.hosted.exlibrisgroup.com/primo-explore/search?tab=default_tab&amp;search_scope=EVERYTHING&amp;vid=01CRU&amp;lang=en_US&amp;offset=0&amp;query=any,contains,991005370109702656","Catalog Record")</f>
        <v/>
      </c>
      <c r="AT586">
        <f>HYPERLINK("http://www.worldcat.org/oclc/2707352","WorldCat Record")</f>
        <v/>
      </c>
      <c r="AU586" t="inlineStr">
        <is>
          <t>4163096116:ger</t>
        </is>
      </c>
      <c r="AV586" t="inlineStr">
        <is>
          <t>2707352</t>
        </is>
      </c>
      <c r="AW586" t="inlineStr">
        <is>
          <t>991005370109702656</t>
        </is>
      </c>
      <c r="AX586" t="inlineStr">
        <is>
          <t>991005370109702656</t>
        </is>
      </c>
      <c r="AY586" t="inlineStr">
        <is>
          <t>2263428860002656</t>
        </is>
      </c>
      <c r="AZ586" t="inlineStr">
        <is>
          <t>BOOK</t>
        </is>
      </c>
      <c r="BC586" t="inlineStr">
        <is>
          <t>32285002793577</t>
        </is>
      </c>
      <c r="BD586" t="inlineStr">
        <is>
          <t>893527506</t>
        </is>
      </c>
    </row>
    <row r="587">
      <c r="A587" t="inlineStr">
        <is>
          <t>No</t>
        </is>
      </c>
      <c r="B587" t="inlineStr">
        <is>
          <t>QD251 .B43</t>
        </is>
      </c>
      <c r="C587" t="inlineStr">
        <is>
          <t>0                      QD 0251000B  43</t>
        </is>
      </c>
      <c r="D587" t="inlineStr">
        <is>
          <t>Handbuch der organischen Chemie, zweites Ergänzungswerk : die Literatur von 1920-1929 umfassend / hrsg. von der Deutschen Chemischen Gesellschaft ; bearb. von Friedrich Richter. 1.-29. Bd. als Ergänzung des 1.-29. Bandes des Hauptwerkes.</t>
        </is>
      </c>
      <c r="E587" t="inlineStr">
        <is>
          <t>V.28 PT.1</t>
        </is>
      </c>
      <c r="F587" t="inlineStr">
        <is>
          <t>Yes</t>
        </is>
      </c>
      <c r="G587" t="inlineStr">
        <is>
          <t>1</t>
        </is>
      </c>
      <c r="H587" t="inlineStr">
        <is>
          <t>No</t>
        </is>
      </c>
      <c r="I587" t="inlineStr">
        <is>
          <t>Yes</t>
        </is>
      </c>
      <c r="J587" t="inlineStr">
        <is>
          <t>0</t>
        </is>
      </c>
      <c r="K587" t="inlineStr">
        <is>
          <t>Beilstein, Friedrich Konrad, 1838-1906.</t>
        </is>
      </c>
      <c r="L587" t="inlineStr">
        <is>
          <t>Berlin : J. Springer, 1941-57.</t>
        </is>
      </c>
      <c r="M587" t="inlineStr">
        <is>
          <t>1941</t>
        </is>
      </c>
      <c r="O587" t="inlineStr">
        <is>
          <t>ger</t>
        </is>
      </c>
      <c r="P587" t="inlineStr">
        <is>
          <t xml:space="preserve">gw </t>
        </is>
      </c>
      <c r="R587" t="inlineStr">
        <is>
          <t xml:space="preserve">QD </t>
        </is>
      </c>
      <c r="S587" t="n">
        <v>1</v>
      </c>
      <c r="T587" t="n">
        <v>31</v>
      </c>
      <c r="U587" t="inlineStr">
        <is>
          <t>1998-07-28</t>
        </is>
      </c>
      <c r="V587" t="inlineStr">
        <is>
          <t>1998-07-28</t>
        </is>
      </c>
      <c r="W587" t="inlineStr">
        <is>
          <t>1997-06-10</t>
        </is>
      </c>
      <c r="X587" t="inlineStr">
        <is>
          <t>1997-06-10</t>
        </is>
      </c>
      <c r="Y587" t="n">
        <v>76</v>
      </c>
      <c r="Z587" t="n">
        <v>72</v>
      </c>
      <c r="AA587" t="n">
        <v>142</v>
      </c>
      <c r="AB587" t="n">
        <v>1</v>
      </c>
      <c r="AC587" t="n">
        <v>2</v>
      </c>
      <c r="AD587" t="n">
        <v>2</v>
      </c>
      <c r="AE587" t="n">
        <v>3</v>
      </c>
      <c r="AF587" t="n">
        <v>0</v>
      </c>
      <c r="AG587" t="n">
        <v>0</v>
      </c>
      <c r="AH587" t="n">
        <v>2</v>
      </c>
      <c r="AI587" t="n">
        <v>2</v>
      </c>
      <c r="AJ587" t="n">
        <v>1</v>
      </c>
      <c r="AK587" t="n">
        <v>1</v>
      </c>
      <c r="AL587" t="n">
        <v>0</v>
      </c>
      <c r="AM587" t="n">
        <v>1</v>
      </c>
      <c r="AN587" t="n">
        <v>0</v>
      </c>
      <c r="AO587" t="n">
        <v>0</v>
      </c>
      <c r="AP587" t="inlineStr">
        <is>
          <t>No</t>
        </is>
      </c>
      <c r="AQ587" t="inlineStr">
        <is>
          <t>No</t>
        </is>
      </c>
      <c r="AS587">
        <f>HYPERLINK("https://creighton-primo.hosted.exlibrisgroup.com/primo-explore/search?tab=default_tab&amp;search_scope=EVERYTHING&amp;vid=01CRU&amp;lang=en_US&amp;offset=0&amp;query=any,contains,991005370109702656","Catalog Record")</f>
        <v/>
      </c>
      <c r="AT587">
        <f>HYPERLINK("http://www.worldcat.org/oclc/2707352","WorldCat Record")</f>
        <v/>
      </c>
      <c r="AU587" t="inlineStr">
        <is>
          <t>4163096116:ger</t>
        </is>
      </c>
      <c r="AV587" t="inlineStr">
        <is>
          <t>2707352</t>
        </is>
      </c>
      <c r="AW587" t="inlineStr">
        <is>
          <t>991005370109702656</t>
        </is>
      </c>
      <c r="AX587" t="inlineStr">
        <is>
          <t>991005370109702656</t>
        </is>
      </c>
      <c r="AY587" t="inlineStr">
        <is>
          <t>2263428860002656</t>
        </is>
      </c>
      <c r="AZ587" t="inlineStr">
        <is>
          <t>BOOK</t>
        </is>
      </c>
      <c r="BC587" t="inlineStr">
        <is>
          <t>32285002793700</t>
        </is>
      </c>
      <c r="BD587" t="inlineStr">
        <is>
          <t>893527504</t>
        </is>
      </c>
    </row>
    <row r="588">
      <c r="A588" t="inlineStr">
        <is>
          <t>No</t>
        </is>
      </c>
      <c r="B588" t="inlineStr">
        <is>
          <t>QD251 .B43</t>
        </is>
      </c>
      <c r="C588" t="inlineStr">
        <is>
          <t>0                      QD 0251000B  43</t>
        </is>
      </c>
      <c r="D588" t="inlineStr">
        <is>
          <t>Handbuch der organischen Chemie, zweites Ergänzungswerk : die Literatur von 1920-1929 umfassend / hrsg. von der Deutschen Chemischen Gesellschaft ; bearb. von Friedrich Richter. 1.-29. Bd. als Ergänzung des 1.-29. Bandes des Hauptwerkes.</t>
        </is>
      </c>
      <c r="E588" t="inlineStr">
        <is>
          <t>V.29 PT.3</t>
        </is>
      </c>
      <c r="F588" t="inlineStr">
        <is>
          <t>Yes</t>
        </is>
      </c>
      <c r="G588" t="inlineStr">
        <is>
          <t>1</t>
        </is>
      </c>
      <c r="H588" t="inlineStr">
        <is>
          <t>No</t>
        </is>
      </c>
      <c r="I588" t="inlineStr">
        <is>
          <t>Yes</t>
        </is>
      </c>
      <c r="J588" t="inlineStr">
        <is>
          <t>0</t>
        </is>
      </c>
      <c r="K588" t="inlineStr">
        <is>
          <t>Beilstein, Friedrich Konrad, 1838-1906.</t>
        </is>
      </c>
      <c r="L588" t="inlineStr">
        <is>
          <t>Berlin : J. Springer, 1941-57.</t>
        </is>
      </c>
      <c r="M588" t="inlineStr">
        <is>
          <t>1941</t>
        </is>
      </c>
      <c r="O588" t="inlineStr">
        <is>
          <t>ger</t>
        </is>
      </c>
      <c r="P588" t="inlineStr">
        <is>
          <t xml:space="preserve">gw </t>
        </is>
      </c>
      <c r="R588" t="inlineStr">
        <is>
          <t xml:space="preserve">QD </t>
        </is>
      </c>
      <c r="S588" t="n">
        <v>1</v>
      </c>
      <c r="T588" t="n">
        <v>31</v>
      </c>
      <c r="U588" t="inlineStr">
        <is>
          <t>1998-07-28</t>
        </is>
      </c>
      <c r="V588" t="inlineStr">
        <is>
          <t>1998-07-28</t>
        </is>
      </c>
      <c r="W588" t="inlineStr">
        <is>
          <t>1997-06-10</t>
        </is>
      </c>
      <c r="X588" t="inlineStr">
        <is>
          <t>1997-06-10</t>
        </is>
      </c>
      <c r="Y588" t="n">
        <v>76</v>
      </c>
      <c r="Z588" t="n">
        <v>72</v>
      </c>
      <c r="AA588" t="n">
        <v>142</v>
      </c>
      <c r="AB588" t="n">
        <v>1</v>
      </c>
      <c r="AC588" t="n">
        <v>2</v>
      </c>
      <c r="AD588" t="n">
        <v>2</v>
      </c>
      <c r="AE588" t="n">
        <v>3</v>
      </c>
      <c r="AF588" t="n">
        <v>0</v>
      </c>
      <c r="AG588" t="n">
        <v>0</v>
      </c>
      <c r="AH588" t="n">
        <v>2</v>
      </c>
      <c r="AI588" t="n">
        <v>2</v>
      </c>
      <c r="AJ588" t="n">
        <v>1</v>
      </c>
      <c r="AK588" t="n">
        <v>1</v>
      </c>
      <c r="AL588" t="n">
        <v>0</v>
      </c>
      <c r="AM588" t="n">
        <v>1</v>
      </c>
      <c r="AN588" t="n">
        <v>0</v>
      </c>
      <c r="AO588" t="n">
        <v>0</v>
      </c>
      <c r="AP588" t="inlineStr">
        <is>
          <t>No</t>
        </is>
      </c>
      <c r="AQ588" t="inlineStr">
        <is>
          <t>No</t>
        </is>
      </c>
      <c r="AS588">
        <f>HYPERLINK("https://creighton-primo.hosted.exlibrisgroup.com/primo-explore/search?tab=default_tab&amp;search_scope=EVERYTHING&amp;vid=01CRU&amp;lang=en_US&amp;offset=0&amp;query=any,contains,991005370109702656","Catalog Record")</f>
        <v/>
      </c>
      <c r="AT588">
        <f>HYPERLINK("http://www.worldcat.org/oclc/2707352","WorldCat Record")</f>
        <v/>
      </c>
      <c r="AU588" t="inlineStr">
        <is>
          <t>4163096116:ger</t>
        </is>
      </c>
      <c r="AV588" t="inlineStr">
        <is>
          <t>2707352</t>
        </is>
      </c>
      <c r="AW588" t="inlineStr">
        <is>
          <t>991005370109702656</t>
        </is>
      </c>
      <c r="AX588" t="inlineStr">
        <is>
          <t>991005370109702656</t>
        </is>
      </c>
      <c r="AY588" t="inlineStr">
        <is>
          <t>2263428860002656</t>
        </is>
      </c>
      <c r="AZ588" t="inlineStr">
        <is>
          <t>BOOK</t>
        </is>
      </c>
      <c r="BC588" t="inlineStr">
        <is>
          <t>32285002793742</t>
        </is>
      </c>
      <c r="BD588" t="inlineStr">
        <is>
          <t>893508136</t>
        </is>
      </c>
    </row>
    <row r="589">
      <c r="A589" t="inlineStr">
        <is>
          <t>No</t>
        </is>
      </c>
      <c r="B589" t="inlineStr">
        <is>
          <t>QD251 .B43</t>
        </is>
      </c>
      <c r="C589" t="inlineStr">
        <is>
          <t>0                      QD 0251000B  43</t>
        </is>
      </c>
      <c r="D589" t="inlineStr">
        <is>
          <t>Handbuch der organischen Chemie, zweites Ergänzungswerk : die Literatur von 1920-1929 umfassend / hrsg. von der Deutschen Chemischen Gesellschaft ; bearb. von Friedrich Richter. 1.-29. Bd. als Ergänzung des 1.-29. Bandes des Hauptwerkes.</t>
        </is>
      </c>
      <c r="E589" t="inlineStr">
        <is>
          <t>V.9</t>
        </is>
      </c>
      <c r="F589" t="inlineStr">
        <is>
          <t>Yes</t>
        </is>
      </c>
      <c r="G589" t="inlineStr">
        <is>
          <t>1</t>
        </is>
      </c>
      <c r="H589" t="inlineStr">
        <is>
          <t>No</t>
        </is>
      </c>
      <c r="I589" t="inlineStr">
        <is>
          <t>Yes</t>
        </is>
      </c>
      <c r="J589" t="inlineStr">
        <is>
          <t>0</t>
        </is>
      </c>
      <c r="K589" t="inlineStr">
        <is>
          <t>Beilstein, Friedrich Konrad, 1838-1906.</t>
        </is>
      </c>
      <c r="L589" t="inlineStr">
        <is>
          <t>Berlin : J. Springer, 1941-57.</t>
        </is>
      </c>
      <c r="M589" t="inlineStr">
        <is>
          <t>1941</t>
        </is>
      </c>
      <c r="O589" t="inlineStr">
        <is>
          <t>ger</t>
        </is>
      </c>
      <c r="P589" t="inlineStr">
        <is>
          <t xml:space="preserve">gw </t>
        </is>
      </c>
      <c r="R589" t="inlineStr">
        <is>
          <t xml:space="preserve">QD </t>
        </is>
      </c>
      <c r="S589" t="n">
        <v>1</v>
      </c>
      <c r="T589" t="n">
        <v>31</v>
      </c>
      <c r="U589" t="inlineStr">
        <is>
          <t>1998-07-28</t>
        </is>
      </c>
      <c r="V589" t="inlineStr">
        <is>
          <t>1998-07-28</t>
        </is>
      </c>
      <c r="W589" t="inlineStr">
        <is>
          <t>1997-06-10</t>
        </is>
      </c>
      <c r="X589" t="inlineStr">
        <is>
          <t>1997-06-10</t>
        </is>
      </c>
      <c r="Y589" t="n">
        <v>76</v>
      </c>
      <c r="Z589" t="n">
        <v>72</v>
      </c>
      <c r="AA589" t="n">
        <v>142</v>
      </c>
      <c r="AB589" t="n">
        <v>1</v>
      </c>
      <c r="AC589" t="n">
        <v>2</v>
      </c>
      <c r="AD589" t="n">
        <v>2</v>
      </c>
      <c r="AE589" t="n">
        <v>3</v>
      </c>
      <c r="AF589" t="n">
        <v>0</v>
      </c>
      <c r="AG589" t="n">
        <v>0</v>
      </c>
      <c r="AH589" t="n">
        <v>2</v>
      </c>
      <c r="AI589" t="n">
        <v>2</v>
      </c>
      <c r="AJ589" t="n">
        <v>1</v>
      </c>
      <c r="AK589" t="n">
        <v>1</v>
      </c>
      <c r="AL589" t="n">
        <v>0</v>
      </c>
      <c r="AM589" t="n">
        <v>1</v>
      </c>
      <c r="AN589" t="n">
        <v>0</v>
      </c>
      <c r="AO589" t="n">
        <v>0</v>
      </c>
      <c r="AP589" t="inlineStr">
        <is>
          <t>No</t>
        </is>
      </c>
      <c r="AQ589" t="inlineStr">
        <is>
          <t>No</t>
        </is>
      </c>
      <c r="AS589">
        <f>HYPERLINK("https://creighton-primo.hosted.exlibrisgroup.com/primo-explore/search?tab=default_tab&amp;search_scope=EVERYTHING&amp;vid=01CRU&amp;lang=en_US&amp;offset=0&amp;query=any,contains,991005370109702656","Catalog Record")</f>
        <v/>
      </c>
      <c r="AT589">
        <f>HYPERLINK("http://www.worldcat.org/oclc/2707352","WorldCat Record")</f>
        <v/>
      </c>
      <c r="AU589" t="inlineStr">
        <is>
          <t>4163096116:ger</t>
        </is>
      </c>
      <c r="AV589" t="inlineStr">
        <is>
          <t>2707352</t>
        </is>
      </c>
      <c r="AW589" t="inlineStr">
        <is>
          <t>991005370109702656</t>
        </is>
      </c>
      <c r="AX589" t="inlineStr">
        <is>
          <t>991005370109702656</t>
        </is>
      </c>
      <c r="AY589" t="inlineStr">
        <is>
          <t>2263428860002656</t>
        </is>
      </c>
      <c r="AZ589" t="inlineStr">
        <is>
          <t>BOOK</t>
        </is>
      </c>
      <c r="BC589" t="inlineStr">
        <is>
          <t>32285002793510</t>
        </is>
      </c>
      <c r="BD589" t="inlineStr">
        <is>
          <t>893514607</t>
        </is>
      </c>
    </row>
    <row r="590">
      <c r="A590" t="inlineStr">
        <is>
          <t>No</t>
        </is>
      </c>
      <c r="B590" t="inlineStr">
        <is>
          <t>QD251 .B43</t>
        </is>
      </c>
      <c r="C590" t="inlineStr">
        <is>
          <t>0                      QD 0251000B  43</t>
        </is>
      </c>
      <c r="D590" t="inlineStr">
        <is>
          <t>Handbuch der organischen Chemie, zweites Ergänzungswerk : die Literatur von 1920-1929 umfassend / hrsg. von der Deutschen Chemischen Gesellschaft ; bearb. von Friedrich Richter. 1.-29. Bd. als Ergänzung des 1.-29. Bandes des Hauptwerkes.</t>
        </is>
      </c>
      <c r="E590" t="inlineStr">
        <is>
          <t>V.12</t>
        </is>
      </c>
      <c r="F590" t="inlineStr">
        <is>
          <t>Yes</t>
        </is>
      </c>
      <c r="G590" t="inlineStr">
        <is>
          <t>1</t>
        </is>
      </c>
      <c r="H590" t="inlineStr">
        <is>
          <t>No</t>
        </is>
      </c>
      <c r="I590" t="inlineStr">
        <is>
          <t>Yes</t>
        </is>
      </c>
      <c r="J590" t="inlineStr">
        <is>
          <t>0</t>
        </is>
      </c>
      <c r="K590" t="inlineStr">
        <is>
          <t>Beilstein, Friedrich Konrad, 1838-1906.</t>
        </is>
      </c>
      <c r="L590" t="inlineStr">
        <is>
          <t>Berlin : J. Springer, 1941-57.</t>
        </is>
      </c>
      <c r="M590" t="inlineStr">
        <is>
          <t>1941</t>
        </is>
      </c>
      <c r="O590" t="inlineStr">
        <is>
          <t>ger</t>
        </is>
      </c>
      <c r="P590" t="inlineStr">
        <is>
          <t xml:space="preserve">gw </t>
        </is>
      </c>
      <c r="R590" t="inlineStr">
        <is>
          <t xml:space="preserve">QD </t>
        </is>
      </c>
      <c r="S590" t="n">
        <v>1</v>
      </c>
      <c r="T590" t="n">
        <v>31</v>
      </c>
      <c r="U590" t="inlineStr">
        <is>
          <t>1998-07-28</t>
        </is>
      </c>
      <c r="V590" t="inlineStr">
        <is>
          <t>1998-07-28</t>
        </is>
      </c>
      <c r="W590" t="inlineStr">
        <is>
          <t>1997-06-10</t>
        </is>
      </c>
      <c r="X590" t="inlineStr">
        <is>
          <t>1997-06-10</t>
        </is>
      </c>
      <c r="Y590" t="n">
        <v>76</v>
      </c>
      <c r="Z590" t="n">
        <v>72</v>
      </c>
      <c r="AA590" t="n">
        <v>142</v>
      </c>
      <c r="AB590" t="n">
        <v>1</v>
      </c>
      <c r="AC590" t="n">
        <v>2</v>
      </c>
      <c r="AD590" t="n">
        <v>2</v>
      </c>
      <c r="AE590" t="n">
        <v>3</v>
      </c>
      <c r="AF590" t="n">
        <v>0</v>
      </c>
      <c r="AG590" t="n">
        <v>0</v>
      </c>
      <c r="AH590" t="n">
        <v>2</v>
      </c>
      <c r="AI590" t="n">
        <v>2</v>
      </c>
      <c r="AJ590" t="n">
        <v>1</v>
      </c>
      <c r="AK590" t="n">
        <v>1</v>
      </c>
      <c r="AL590" t="n">
        <v>0</v>
      </c>
      <c r="AM590" t="n">
        <v>1</v>
      </c>
      <c r="AN590" t="n">
        <v>0</v>
      </c>
      <c r="AO590" t="n">
        <v>0</v>
      </c>
      <c r="AP590" t="inlineStr">
        <is>
          <t>No</t>
        </is>
      </c>
      <c r="AQ590" t="inlineStr">
        <is>
          <t>No</t>
        </is>
      </c>
      <c r="AS590">
        <f>HYPERLINK("https://creighton-primo.hosted.exlibrisgroup.com/primo-explore/search?tab=default_tab&amp;search_scope=EVERYTHING&amp;vid=01CRU&amp;lang=en_US&amp;offset=0&amp;query=any,contains,991005370109702656","Catalog Record")</f>
        <v/>
      </c>
      <c r="AT590">
        <f>HYPERLINK("http://www.worldcat.org/oclc/2707352","WorldCat Record")</f>
        <v/>
      </c>
      <c r="AU590" t="inlineStr">
        <is>
          <t>4163096116:ger</t>
        </is>
      </c>
      <c r="AV590" t="inlineStr">
        <is>
          <t>2707352</t>
        </is>
      </c>
      <c r="AW590" t="inlineStr">
        <is>
          <t>991005370109702656</t>
        </is>
      </c>
      <c r="AX590" t="inlineStr">
        <is>
          <t>991005370109702656</t>
        </is>
      </c>
      <c r="AY590" t="inlineStr">
        <is>
          <t>2263428860002656</t>
        </is>
      </c>
      <c r="AZ590" t="inlineStr">
        <is>
          <t>BOOK</t>
        </is>
      </c>
      <c r="BC590" t="inlineStr">
        <is>
          <t>32285002793544</t>
        </is>
      </c>
      <c r="BD590" t="inlineStr">
        <is>
          <t>893514609</t>
        </is>
      </c>
    </row>
    <row r="591">
      <c r="A591" t="inlineStr">
        <is>
          <t>No</t>
        </is>
      </c>
      <c r="B591" t="inlineStr">
        <is>
          <t>QD251 .B43</t>
        </is>
      </c>
      <c r="C591" t="inlineStr">
        <is>
          <t>0                      QD 0251000B  43</t>
        </is>
      </c>
      <c r="D591" t="inlineStr">
        <is>
          <t>Handbuch der organischen Chemie, zweites Ergänzungswerk : die Literatur von 1920-1929 umfassend / hrsg. von der Deutschen Chemischen Gesellschaft ; bearb. von Friedrich Richter. 1.-29. Bd. als Ergänzung des 1.-29. Bandes des Hauptwerkes.</t>
        </is>
      </c>
      <c r="E591" t="inlineStr">
        <is>
          <t>V.6</t>
        </is>
      </c>
      <c r="F591" t="inlineStr">
        <is>
          <t>Yes</t>
        </is>
      </c>
      <c r="G591" t="inlineStr">
        <is>
          <t>1</t>
        </is>
      </c>
      <c r="H591" t="inlineStr">
        <is>
          <t>No</t>
        </is>
      </c>
      <c r="I591" t="inlineStr">
        <is>
          <t>Yes</t>
        </is>
      </c>
      <c r="J591" t="inlineStr">
        <is>
          <t>0</t>
        </is>
      </c>
      <c r="K591" t="inlineStr">
        <is>
          <t>Beilstein, Friedrich Konrad, 1838-1906.</t>
        </is>
      </c>
      <c r="L591" t="inlineStr">
        <is>
          <t>Berlin : J. Springer, 1941-57.</t>
        </is>
      </c>
      <c r="M591" t="inlineStr">
        <is>
          <t>1941</t>
        </is>
      </c>
      <c r="O591" t="inlineStr">
        <is>
          <t>ger</t>
        </is>
      </c>
      <c r="P591" t="inlineStr">
        <is>
          <t xml:space="preserve">gw </t>
        </is>
      </c>
      <c r="R591" t="inlineStr">
        <is>
          <t xml:space="preserve">QD </t>
        </is>
      </c>
      <c r="S591" t="n">
        <v>1</v>
      </c>
      <c r="T591" t="n">
        <v>31</v>
      </c>
      <c r="U591" t="inlineStr">
        <is>
          <t>1998-07-28</t>
        </is>
      </c>
      <c r="V591" t="inlineStr">
        <is>
          <t>1998-07-28</t>
        </is>
      </c>
      <c r="W591" t="inlineStr">
        <is>
          <t>1997-06-10</t>
        </is>
      </c>
      <c r="X591" t="inlineStr">
        <is>
          <t>1997-06-10</t>
        </is>
      </c>
      <c r="Y591" t="n">
        <v>76</v>
      </c>
      <c r="Z591" t="n">
        <v>72</v>
      </c>
      <c r="AA591" t="n">
        <v>142</v>
      </c>
      <c r="AB591" t="n">
        <v>1</v>
      </c>
      <c r="AC591" t="n">
        <v>2</v>
      </c>
      <c r="AD591" t="n">
        <v>2</v>
      </c>
      <c r="AE591" t="n">
        <v>3</v>
      </c>
      <c r="AF591" t="n">
        <v>0</v>
      </c>
      <c r="AG591" t="n">
        <v>0</v>
      </c>
      <c r="AH591" t="n">
        <v>2</v>
      </c>
      <c r="AI591" t="n">
        <v>2</v>
      </c>
      <c r="AJ591" t="n">
        <v>1</v>
      </c>
      <c r="AK591" t="n">
        <v>1</v>
      </c>
      <c r="AL591" t="n">
        <v>0</v>
      </c>
      <c r="AM591" t="n">
        <v>1</v>
      </c>
      <c r="AN591" t="n">
        <v>0</v>
      </c>
      <c r="AO591" t="n">
        <v>0</v>
      </c>
      <c r="AP591" t="inlineStr">
        <is>
          <t>No</t>
        </is>
      </c>
      <c r="AQ591" t="inlineStr">
        <is>
          <t>No</t>
        </is>
      </c>
      <c r="AS591">
        <f>HYPERLINK("https://creighton-primo.hosted.exlibrisgroup.com/primo-explore/search?tab=default_tab&amp;search_scope=EVERYTHING&amp;vid=01CRU&amp;lang=en_US&amp;offset=0&amp;query=any,contains,991005370109702656","Catalog Record")</f>
        <v/>
      </c>
      <c r="AT591">
        <f>HYPERLINK("http://www.worldcat.org/oclc/2707352","WorldCat Record")</f>
        <v/>
      </c>
      <c r="AU591" t="inlineStr">
        <is>
          <t>4163096116:ger</t>
        </is>
      </c>
      <c r="AV591" t="inlineStr">
        <is>
          <t>2707352</t>
        </is>
      </c>
      <c r="AW591" t="inlineStr">
        <is>
          <t>991005370109702656</t>
        </is>
      </c>
      <c r="AX591" t="inlineStr">
        <is>
          <t>991005370109702656</t>
        </is>
      </c>
      <c r="AY591" t="inlineStr">
        <is>
          <t>2263428860002656</t>
        </is>
      </c>
      <c r="AZ591" t="inlineStr">
        <is>
          <t>BOOK</t>
        </is>
      </c>
      <c r="BC591" t="inlineStr">
        <is>
          <t>32285002793486</t>
        </is>
      </c>
      <c r="BD591" t="inlineStr">
        <is>
          <t>893508134</t>
        </is>
      </c>
    </row>
    <row r="592">
      <c r="A592" t="inlineStr">
        <is>
          <t>No</t>
        </is>
      </c>
      <c r="B592" t="inlineStr">
        <is>
          <t>QD251 .B43</t>
        </is>
      </c>
      <c r="C592" t="inlineStr">
        <is>
          <t>0                      QD 0251000B  43</t>
        </is>
      </c>
      <c r="D592" t="inlineStr">
        <is>
          <t>Handbuch der organischen Chemie, zweites Ergänzungswerk : die Literatur von 1920-1929 umfassend / hrsg. von der Deutschen Chemischen Gesellschaft ; bearb. von Friedrich Richter. 1.-29. Bd. als Ergänzung des 1.-29. Bandes des Hauptwerkes.</t>
        </is>
      </c>
      <c r="E592" t="inlineStr">
        <is>
          <t>V.2</t>
        </is>
      </c>
      <c r="F592" t="inlineStr">
        <is>
          <t>Yes</t>
        </is>
      </c>
      <c r="G592" t="inlineStr">
        <is>
          <t>1</t>
        </is>
      </c>
      <c r="H592" t="inlineStr">
        <is>
          <t>No</t>
        </is>
      </c>
      <c r="I592" t="inlineStr">
        <is>
          <t>Yes</t>
        </is>
      </c>
      <c r="J592" t="inlineStr">
        <is>
          <t>0</t>
        </is>
      </c>
      <c r="K592" t="inlineStr">
        <is>
          <t>Beilstein, Friedrich Konrad, 1838-1906.</t>
        </is>
      </c>
      <c r="L592" t="inlineStr">
        <is>
          <t>Berlin : J. Springer, 1941-57.</t>
        </is>
      </c>
      <c r="M592" t="inlineStr">
        <is>
          <t>1941</t>
        </is>
      </c>
      <c r="O592" t="inlineStr">
        <is>
          <t>ger</t>
        </is>
      </c>
      <c r="P592" t="inlineStr">
        <is>
          <t xml:space="preserve">gw </t>
        </is>
      </c>
      <c r="R592" t="inlineStr">
        <is>
          <t xml:space="preserve">QD </t>
        </is>
      </c>
      <c r="S592" t="n">
        <v>1</v>
      </c>
      <c r="T592" t="n">
        <v>31</v>
      </c>
      <c r="U592" t="inlineStr">
        <is>
          <t>1998-07-28</t>
        </is>
      </c>
      <c r="V592" t="inlineStr">
        <is>
          <t>1998-07-28</t>
        </is>
      </c>
      <c r="W592" t="inlineStr">
        <is>
          <t>1997-06-10</t>
        </is>
      </c>
      <c r="X592" t="inlineStr">
        <is>
          <t>1997-06-10</t>
        </is>
      </c>
      <c r="Y592" t="n">
        <v>76</v>
      </c>
      <c r="Z592" t="n">
        <v>72</v>
      </c>
      <c r="AA592" t="n">
        <v>142</v>
      </c>
      <c r="AB592" t="n">
        <v>1</v>
      </c>
      <c r="AC592" t="n">
        <v>2</v>
      </c>
      <c r="AD592" t="n">
        <v>2</v>
      </c>
      <c r="AE592" t="n">
        <v>3</v>
      </c>
      <c r="AF592" t="n">
        <v>0</v>
      </c>
      <c r="AG592" t="n">
        <v>0</v>
      </c>
      <c r="AH592" t="n">
        <v>2</v>
      </c>
      <c r="AI592" t="n">
        <v>2</v>
      </c>
      <c r="AJ592" t="n">
        <v>1</v>
      </c>
      <c r="AK592" t="n">
        <v>1</v>
      </c>
      <c r="AL592" t="n">
        <v>0</v>
      </c>
      <c r="AM592" t="n">
        <v>1</v>
      </c>
      <c r="AN592" t="n">
        <v>0</v>
      </c>
      <c r="AO592" t="n">
        <v>0</v>
      </c>
      <c r="AP592" t="inlineStr">
        <is>
          <t>No</t>
        </is>
      </c>
      <c r="AQ592" t="inlineStr">
        <is>
          <t>No</t>
        </is>
      </c>
      <c r="AS592">
        <f>HYPERLINK("https://creighton-primo.hosted.exlibrisgroup.com/primo-explore/search?tab=default_tab&amp;search_scope=EVERYTHING&amp;vid=01CRU&amp;lang=en_US&amp;offset=0&amp;query=any,contains,991005370109702656","Catalog Record")</f>
        <v/>
      </c>
      <c r="AT592">
        <f>HYPERLINK("http://www.worldcat.org/oclc/2707352","WorldCat Record")</f>
        <v/>
      </c>
      <c r="AU592" t="inlineStr">
        <is>
          <t>4163096116:ger</t>
        </is>
      </c>
      <c r="AV592" t="inlineStr">
        <is>
          <t>2707352</t>
        </is>
      </c>
      <c r="AW592" t="inlineStr">
        <is>
          <t>991005370109702656</t>
        </is>
      </c>
      <c r="AX592" t="inlineStr">
        <is>
          <t>991005370109702656</t>
        </is>
      </c>
      <c r="AY592" t="inlineStr">
        <is>
          <t>2263428860002656</t>
        </is>
      </c>
      <c r="AZ592" t="inlineStr">
        <is>
          <t>BOOK</t>
        </is>
      </c>
      <c r="BC592" t="inlineStr">
        <is>
          <t>32285002793452</t>
        </is>
      </c>
      <c r="BD592" t="inlineStr">
        <is>
          <t>893521045</t>
        </is>
      </c>
    </row>
    <row r="593">
      <c r="A593" t="inlineStr">
        <is>
          <t>No</t>
        </is>
      </c>
      <c r="B593" t="inlineStr">
        <is>
          <t>QD251 .B43</t>
        </is>
      </c>
      <c r="C593" t="inlineStr">
        <is>
          <t>0                      QD 0251000B  43</t>
        </is>
      </c>
      <c r="D593" t="inlineStr">
        <is>
          <t>Handbuch der organischen Chemie, zweites Ergänzungswerk : die Literatur von 1920-1929 umfassend / hrsg. von der Deutschen Chemischen Gesellschaft ; bearb. von Friedrich Richter. 1.-29. Bd. als Ergänzung des 1.-29. Bandes des Hauptwerkes.</t>
        </is>
      </c>
      <c r="E593" t="inlineStr">
        <is>
          <t>V.5</t>
        </is>
      </c>
      <c r="F593" t="inlineStr">
        <is>
          <t>Yes</t>
        </is>
      </c>
      <c r="G593" t="inlineStr">
        <is>
          <t>1</t>
        </is>
      </c>
      <c r="H593" t="inlineStr">
        <is>
          <t>No</t>
        </is>
      </c>
      <c r="I593" t="inlineStr">
        <is>
          <t>Yes</t>
        </is>
      </c>
      <c r="J593" t="inlineStr">
        <is>
          <t>0</t>
        </is>
      </c>
      <c r="K593" t="inlineStr">
        <is>
          <t>Beilstein, Friedrich Konrad, 1838-1906.</t>
        </is>
      </c>
      <c r="L593" t="inlineStr">
        <is>
          <t>Berlin : J. Springer, 1941-57.</t>
        </is>
      </c>
      <c r="M593" t="inlineStr">
        <is>
          <t>1941</t>
        </is>
      </c>
      <c r="O593" t="inlineStr">
        <is>
          <t>ger</t>
        </is>
      </c>
      <c r="P593" t="inlineStr">
        <is>
          <t xml:space="preserve">gw </t>
        </is>
      </c>
      <c r="R593" t="inlineStr">
        <is>
          <t xml:space="preserve">QD </t>
        </is>
      </c>
      <c r="S593" t="n">
        <v>1</v>
      </c>
      <c r="T593" t="n">
        <v>31</v>
      </c>
      <c r="U593" t="inlineStr">
        <is>
          <t>1998-07-28</t>
        </is>
      </c>
      <c r="V593" t="inlineStr">
        <is>
          <t>1998-07-28</t>
        </is>
      </c>
      <c r="W593" t="inlineStr">
        <is>
          <t>1997-06-10</t>
        </is>
      </c>
      <c r="X593" t="inlineStr">
        <is>
          <t>1997-06-10</t>
        </is>
      </c>
      <c r="Y593" t="n">
        <v>76</v>
      </c>
      <c r="Z593" t="n">
        <v>72</v>
      </c>
      <c r="AA593" t="n">
        <v>142</v>
      </c>
      <c r="AB593" t="n">
        <v>1</v>
      </c>
      <c r="AC593" t="n">
        <v>2</v>
      </c>
      <c r="AD593" t="n">
        <v>2</v>
      </c>
      <c r="AE593" t="n">
        <v>3</v>
      </c>
      <c r="AF593" t="n">
        <v>0</v>
      </c>
      <c r="AG593" t="n">
        <v>0</v>
      </c>
      <c r="AH593" t="n">
        <v>2</v>
      </c>
      <c r="AI593" t="n">
        <v>2</v>
      </c>
      <c r="AJ593" t="n">
        <v>1</v>
      </c>
      <c r="AK593" t="n">
        <v>1</v>
      </c>
      <c r="AL593" t="n">
        <v>0</v>
      </c>
      <c r="AM593" t="n">
        <v>1</v>
      </c>
      <c r="AN593" t="n">
        <v>0</v>
      </c>
      <c r="AO593" t="n">
        <v>0</v>
      </c>
      <c r="AP593" t="inlineStr">
        <is>
          <t>No</t>
        </is>
      </c>
      <c r="AQ593" t="inlineStr">
        <is>
          <t>No</t>
        </is>
      </c>
      <c r="AS593">
        <f>HYPERLINK("https://creighton-primo.hosted.exlibrisgroup.com/primo-explore/search?tab=default_tab&amp;search_scope=EVERYTHING&amp;vid=01CRU&amp;lang=en_US&amp;offset=0&amp;query=any,contains,991005370109702656","Catalog Record")</f>
        <v/>
      </c>
      <c r="AT593">
        <f>HYPERLINK("http://www.worldcat.org/oclc/2707352","WorldCat Record")</f>
        <v/>
      </c>
      <c r="AU593" t="inlineStr">
        <is>
          <t>4163096116:ger</t>
        </is>
      </c>
      <c r="AV593" t="inlineStr">
        <is>
          <t>2707352</t>
        </is>
      </c>
      <c r="AW593" t="inlineStr">
        <is>
          <t>991005370109702656</t>
        </is>
      </c>
      <c r="AX593" t="inlineStr">
        <is>
          <t>991005370109702656</t>
        </is>
      </c>
      <c r="AY593" t="inlineStr">
        <is>
          <t>2263428860002656</t>
        </is>
      </c>
      <c r="AZ593" t="inlineStr">
        <is>
          <t>BOOK</t>
        </is>
      </c>
      <c r="BC593" t="inlineStr">
        <is>
          <t>32285002793478</t>
        </is>
      </c>
      <c r="BD593" t="inlineStr">
        <is>
          <t>893521048</t>
        </is>
      </c>
    </row>
    <row r="594">
      <c r="A594" t="inlineStr">
        <is>
          <t>No</t>
        </is>
      </c>
      <c r="B594" t="inlineStr">
        <is>
          <t>QD251 .B43</t>
        </is>
      </c>
      <c r="C594" t="inlineStr">
        <is>
          <t>0                      QD 0251000B  43</t>
        </is>
      </c>
      <c r="D594" t="inlineStr">
        <is>
          <t>Handbuch der organischen Chemie, zweites Ergänzungswerk : die Literatur von 1920-1929 umfassend / hrsg. von der Deutschen Chemischen Gesellschaft ; bearb. von Friedrich Richter. 1.-29. Bd. als Ergänzung des 1.-29. Bandes des Hauptwerkes.</t>
        </is>
      </c>
      <c r="E594" t="inlineStr">
        <is>
          <t>V.13</t>
        </is>
      </c>
      <c r="F594" t="inlineStr">
        <is>
          <t>Yes</t>
        </is>
      </c>
      <c r="G594" t="inlineStr">
        <is>
          <t>1</t>
        </is>
      </c>
      <c r="H594" t="inlineStr">
        <is>
          <t>No</t>
        </is>
      </c>
      <c r="I594" t="inlineStr">
        <is>
          <t>Yes</t>
        </is>
      </c>
      <c r="J594" t="inlineStr">
        <is>
          <t>0</t>
        </is>
      </c>
      <c r="K594" t="inlineStr">
        <is>
          <t>Beilstein, Friedrich Konrad, 1838-1906.</t>
        </is>
      </c>
      <c r="L594" t="inlineStr">
        <is>
          <t>Berlin : J. Springer, 1941-57.</t>
        </is>
      </c>
      <c r="M594" t="inlineStr">
        <is>
          <t>1941</t>
        </is>
      </c>
      <c r="O594" t="inlineStr">
        <is>
          <t>ger</t>
        </is>
      </c>
      <c r="P594" t="inlineStr">
        <is>
          <t xml:space="preserve">gw </t>
        </is>
      </c>
      <c r="R594" t="inlineStr">
        <is>
          <t xml:space="preserve">QD </t>
        </is>
      </c>
      <c r="S594" t="n">
        <v>1</v>
      </c>
      <c r="T594" t="n">
        <v>31</v>
      </c>
      <c r="U594" t="inlineStr">
        <is>
          <t>1998-07-28</t>
        </is>
      </c>
      <c r="V594" t="inlineStr">
        <is>
          <t>1998-07-28</t>
        </is>
      </c>
      <c r="W594" t="inlineStr">
        <is>
          <t>1997-06-10</t>
        </is>
      </c>
      <c r="X594" t="inlineStr">
        <is>
          <t>1997-06-10</t>
        </is>
      </c>
      <c r="Y594" t="n">
        <v>76</v>
      </c>
      <c r="Z594" t="n">
        <v>72</v>
      </c>
      <c r="AA594" t="n">
        <v>142</v>
      </c>
      <c r="AB594" t="n">
        <v>1</v>
      </c>
      <c r="AC594" t="n">
        <v>2</v>
      </c>
      <c r="AD594" t="n">
        <v>2</v>
      </c>
      <c r="AE594" t="n">
        <v>3</v>
      </c>
      <c r="AF594" t="n">
        <v>0</v>
      </c>
      <c r="AG594" t="n">
        <v>0</v>
      </c>
      <c r="AH594" t="n">
        <v>2</v>
      </c>
      <c r="AI594" t="n">
        <v>2</v>
      </c>
      <c r="AJ594" t="n">
        <v>1</v>
      </c>
      <c r="AK594" t="n">
        <v>1</v>
      </c>
      <c r="AL594" t="n">
        <v>0</v>
      </c>
      <c r="AM594" t="n">
        <v>1</v>
      </c>
      <c r="AN594" t="n">
        <v>0</v>
      </c>
      <c r="AO594" t="n">
        <v>0</v>
      </c>
      <c r="AP594" t="inlineStr">
        <is>
          <t>No</t>
        </is>
      </c>
      <c r="AQ594" t="inlineStr">
        <is>
          <t>No</t>
        </is>
      </c>
      <c r="AS594">
        <f>HYPERLINK("https://creighton-primo.hosted.exlibrisgroup.com/primo-explore/search?tab=default_tab&amp;search_scope=EVERYTHING&amp;vid=01CRU&amp;lang=en_US&amp;offset=0&amp;query=any,contains,991005370109702656","Catalog Record")</f>
        <v/>
      </c>
      <c r="AT594">
        <f>HYPERLINK("http://www.worldcat.org/oclc/2707352","WorldCat Record")</f>
        <v/>
      </c>
      <c r="AU594" t="inlineStr">
        <is>
          <t>4163096116:ger</t>
        </is>
      </c>
      <c r="AV594" t="inlineStr">
        <is>
          <t>2707352</t>
        </is>
      </c>
      <c r="AW594" t="inlineStr">
        <is>
          <t>991005370109702656</t>
        </is>
      </c>
      <c r="AX594" t="inlineStr">
        <is>
          <t>991005370109702656</t>
        </is>
      </c>
      <c r="AY594" t="inlineStr">
        <is>
          <t>2263428860002656</t>
        </is>
      </c>
      <c r="AZ594" t="inlineStr">
        <is>
          <t>BOOK</t>
        </is>
      </c>
      <c r="BC594" t="inlineStr">
        <is>
          <t>32285002793551</t>
        </is>
      </c>
      <c r="BD594" t="inlineStr">
        <is>
          <t>893521047</t>
        </is>
      </c>
    </row>
    <row r="595">
      <c r="A595" t="inlineStr">
        <is>
          <t>No</t>
        </is>
      </c>
      <c r="B595" t="inlineStr">
        <is>
          <t>QD251 .B43</t>
        </is>
      </c>
      <c r="C595" t="inlineStr">
        <is>
          <t>0                      QD 0251000B  43</t>
        </is>
      </c>
      <c r="D595" t="inlineStr">
        <is>
          <t>Handbuch der organischen Chemie, zweites Ergänzungswerk : die Literatur von 1920-1929 umfassend / hrsg. von der Deutschen Chemischen Gesellschaft ; bearb. von Friedrich Richter. 1.-29. Bd. als Ergänzung des 1.-29. Bandes des Hauptwerkes.</t>
        </is>
      </c>
      <c r="E595" t="inlineStr">
        <is>
          <t>V.8</t>
        </is>
      </c>
      <c r="F595" t="inlineStr">
        <is>
          <t>Yes</t>
        </is>
      </c>
      <c r="G595" t="inlineStr">
        <is>
          <t>1</t>
        </is>
      </c>
      <c r="H595" t="inlineStr">
        <is>
          <t>No</t>
        </is>
      </c>
      <c r="I595" t="inlineStr">
        <is>
          <t>Yes</t>
        </is>
      </c>
      <c r="J595" t="inlineStr">
        <is>
          <t>0</t>
        </is>
      </c>
      <c r="K595" t="inlineStr">
        <is>
          <t>Beilstein, Friedrich Konrad, 1838-1906.</t>
        </is>
      </c>
      <c r="L595" t="inlineStr">
        <is>
          <t>Berlin : J. Springer, 1941-57.</t>
        </is>
      </c>
      <c r="M595" t="inlineStr">
        <is>
          <t>1941</t>
        </is>
      </c>
      <c r="O595" t="inlineStr">
        <is>
          <t>ger</t>
        </is>
      </c>
      <c r="P595" t="inlineStr">
        <is>
          <t xml:space="preserve">gw </t>
        </is>
      </c>
      <c r="R595" t="inlineStr">
        <is>
          <t xml:space="preserve">QD </t>
        </is>
      </c>
      <c r="S595" t="n">
        <v>1</v>
      </c>
      <c r="T595" t="n">
        <v>31</v>
      </c>
      <c r="U595" t="inlineStr">
        <is>
          <t>1998-07-28</t>
        </is>
      </c>
      <c r="V595" t="inlineStr">
        <is>
          <t>1998-07-28</t>
        </is>
      </c>
      <c r="W595" t="inlineStr">
        <is>
          <t>1997-06-10</t>
        </is>
      </c>
      <c r="X595" t="inlineStr">
        <is>
          <t>1997-06-10</t>
        </is>
      </c>
      <c r="Y595" t="n">
        <v>76</v>
      </c>
      <c r="Z595" t="n">
        <v>72</v>
      </c>
      <c r="AA595" t="n">
        <v>142</v>
      </c>
      <c r="AB595" t="n">
        <v>1</v>
      </c>
      <c r="AC595" t="n">
        <v>2</v>
      </c>
      <c r="AD595" t="n">
        <v>2</v>
      </c>
      <c r="AE595" t="n">
        <v>3</v>
      </c>
      <c r="AF595" t="n">
        <v>0</v>
      </c>
      <c r="AG595" t="n">
        <v>0</v>
      </c>
      <c r="AH595" t="n">
        <v>2</v>
      </c>
      <c r="AI595" t="n">
        <v>2</v>
      </c>
      <c r="AJ595" t="n">
        <v>1</v>
      </c>
      <c r="AK595" t="n">
        <v>1</v>
      </c>
      <c r="AL595" t="n">
        <v>0</v>
      </c>
      <c r="AM595" t="n">
        <v>1</v>
      </c>
      <c r="AN595" t="n">
        <v>0</v>
      </c>
      <c r="AO595" t="n">
        <v>0</v>
      </c>
      <c r="AP595" t="inlineStr">
        <is>
          <t>No</t>
        </is>
      </c>
      <c r="AQ595" t="inlineStr">
        <is>
          <t>No</t>
        </is>
      </c>
      <c r="AS595">
        <f>HYPERLINK("https://creighton-primo.hosted.exlibrisgroup.com/primo-explore/search?tab=default_tab&amp;search_scope=EVERYTHING&amp;vid=01CRU&amp;lang=en_US&amp;offset=0&amp;query=any,contains,991005370109702656","Catalog Record")</f>
        <v/>
      </c>
      <c r="AT595">
        <f>HYPERLINK("http://www.worldcat.org/oclc/2707352","WorldCat Record")</f>
        <v/>
      </c>
      <c r="AU595" t="inlineStr">
        <is>
          <t>4163096116:ger</t>
        </is>
      </c>
      <c r="AV595" t="inlineStr">
        <is>
          <t>2707352</t>
        </is>
      </c>
      <c r="AW595" t="inlineStr">
        <is>
          <t>991005370109702656</t>
        </is>
      </c>
      <c r="AX595" t="inlineStr">
        <is>
          <t>991005370109702656</t>
        </is>
      </c>
      <c r="AY595" t="inlineStr">
        <is>
          <t>2263428860002656</t>
        </is>
      </c>
      <c r="AZ595" t="inlineStr">
        <is>
          <t>BOOK</t>
        </is>
      </c>
      <c r="BC595" t="inlineStr">
        <is>
          <t>32285002793502</t>
        </is>
      </c>
      <c r="BD595" t="inlineStr">
        <is>
          <t>893521043</t>
        </is>
      </c>
    </row>
    <row r="596">
      <c r="A596" t="inlineStr">
        <is>
          <t>No</t>
        </is>
      </c>
      <c r="B596" t="inlineStr">
        <is>
          <t>QD251 .B43</t>
        </is>
      </c>
      <c r="C596" t="inlineStr">
        <is>
          <t>0                      QD 0251000B  43</t>
        </is>
      </c>
      <c r="D596" t="inlineStr">
        <is>
          <t>Handbuch der organischen Chemie, zweites Ergänzungswerk : die Literatur von 1920-1929 umfassend / hrsg. von der Deutschen Chemischen Gesellschaft ; bearb. von Friedrich Richter. 1.-29. Bd. als Ergänzung des 1.-29. Bandes des Hauptwerkes.</t>
        </is>
      </c>
      <c r="E596" t="inlineStr">
        <is>
          <t>V.10</t>
        </is>
      </c>
      <c r="F596" t="inlineStr">
        <is>
          <t>Yes</t>
        </is>
      </c>
      <c r="G596" t="inlineStr">
        <is>
          <t>1</t>
        </is>
      </c>
      <c r="H596" t="inlineStr">
        <is>
          <t>No</t>
        </is>
      </c>
      <c r="I596" t="inlineStr">
        <is>
          <t>Yes</t>
        </is>
      </c>
      <c r="J596" t="inlineStr">
        <is>
          <t>0</t>
        </is>
      </c>
      <c r="K596" t="inlineStr">
        <is>
          <t>Beilstein, Friedrich Konrad, 1838-1906.</t>
        </is>
      </c>
      <c r="L596" t="inlineStr">
        <is>
          <t>Berlin : J. Springer, 1941-57.</t>
        </is>
      </c>
      <c r="M596" t="inlineStr">
        <is>
          <t>1941</t>
        </is>
      </c>
      <c r="O596" t="inlineStr">
        <is>
          <t>ger</t>
        </is>
      </c>
      <c r="P596" t="inlineStr">
        <is>
          <t xml:space="preserve">gw </t>
        </is>
      </c>
      <c r="R596" t="inlineStr">
        <is>
          <t xml:space="preserve">QD </t>
        </is>
      </c>
      <c r="S596" t="n">
        <v>1</v>
      </c>
      <c r="T596" t="n">
        <v>31</v>
      </c>
      <c r="U596" t="inlineStr">
        <is>
          <t>1998-07-28</t>
        </is>
      </c>
      <c r="V596" t="inlineStr">
        <is>
          <t>1998-07-28</t>
        </is>
      </c>
      <c r="W596" t="inlineStr">
        <is>
          <t>1997-06-10</t>
        </is>
      </c>
      <c r="X596" t="inlineStr">
        <is>
          <t>1997-06-10</t>
        </is>
      </c>
      <c r="Y596" t="n">
        <v>76</v>
      </c>
      <c r="Z596" t="n">
        <v>72</v>
      </c>
      <c r="AA596" t="n">
        <v>142</v>
      </c>
      <c r="AB596" t="n">
        <v>1</v>
      </c>
      <c r="AC596" t="n">
        <v>2</v>
      </c>
      <c r="AD596" t="n">
        <v>2</v>
      </c>
      <c r="AE596" t="n">
        <v>3</v>
      </c>
      <c r="AF596" t="n">
        <v>0</v>
      </c>
      <c r="AG596" t="n">
        <v>0</v>
      </c>
      <c r="AH596" t="n">
        <v>2</v>
      </c>
      <c r="AI596" t="n">
        <v>2</v>
      </c>
      <c r="AJ596" t="n">
        <v>1</v>
      </c>
      <c r="AK596" t="n">
        <v>1</v>
      </c>
      <c r="AL596" t="n">
        <v>0</v>
      </c>
      <c r="AM596" t="n">
        <v>1</v>
      </c>
      <c r="AN596" t="n">
        <v>0</v>
      </c>
      <c r="AO596" t="n">
        <v>0</v>
      </c>
      <c r="AP596" t="inlineStr">
        <is>
          <t>No</t>
        </is>
      </c>
      <c r="AQ596" t="inlineStr">
        <is>
          <t>No</t>
        </is>
      </c>
      <c r="AS596">
        <f>HYPERLINK("https://creighton-primo.hosted.exlibrisgroup.com/primo-explore/search?tab=default_tab&amp;search_scope=EVERYTHING&amp;vid=01CRU&amp;lang=en_US&amp;offset=0&amp;query=any,contains,991005370109702656","Catalog Record")</f>
        <v/>
      </c>
      <c r="AT596">
        <f>HYPERLINK("http://www.worldcat.org/oclc/2707352","WorldCat Record")</f>
        <v/>
      </c>
      <c r="AU596" t="inlineStr">
        <is>
          <t>4163096116:ger</t>
        </is>
      </c>
      <c r="AV596" t="inlineStr">
        <is>
          <t>2707352</t>
        </is>
      </c>
      <c r="AW596" t="inlineStr">
        <is>
          <t>991005370109702656</t>
        </is>
      </c>
      <c r="AX596" t="inlineStr">
        <is>
          <t>991005370109702656</t>
        </is>
      </c>
      <c r="AY596" t="inlineStr">
        <is>
          <t>2263428860002656</t>
        </is>
      </c>
      <c r="AZ596" t="inlineStr">
        <is>
          <t>BOOK</t>
        </is>
      </c>
      <c r="BC596" t="inlineStr">
        <is>
          <t>32285002793528</t>
        </is>
      </c>
      <c r="BD596" t="inlineStr">
        <is>
          <t>893521052</t>
        </is>
      </c>
    </row>
    <row r="597">
      <c r="A597" t="inlineStr">
        <is>
          <t>No</t>
        </is>
      </c>
      <c r="B597" t="inlineStr">
        <is>
          <t>QD251 .B43</t>
        </is>
      </c>
      <c r="C597" t="inlineStr">
        <is>
          <t>0                      QD 0251000B  43</t>
        </is>
      </c>
      <c r="D597" t="inlineStr">
        <is>
          <t>Handbuch der organischen Chemie, zweites Ergänzungswerk : die Literatur von 1920-1929 umfassend / hrsg. von der Deutschen Chemischen Gesellschaft ; bearb. von Friedrich Richter. 1.-29. Bd. als Ergänzung des 1.-29. Bandes des Hauptwerkes.</t>
        </is>
      </c>
      <c r="E597" t="inlineStr">
        <is>
          <t>V.29 PT.1</t>
        </is>
      </c>
      <c r="F597" t="inlineStr">
        <is>
          <t>Yes</t>
        </is>
      </c>
      <c r="G597" t="inlineStr">
        <is>
          <t>1</t>
        </is>
      </c>
      <c r="H597" t="inlineStr">
        <is>
          <t>No</t>
        </is>
      </c>
      <c r="I597" t="inlineStr">
        <is>
          <t>Yes</t>
        </is>
      </c>
      <c r="J597" t="inlineStr">
        <is>
          <t>0</t>
        </is>
      </c>
      <c r="K597" t="inlineStr">
        <is>
          <t>Beilstein, Friedrich Konrad, 1838-1906.</t>
        </is>
      </c>
      <c r="L597" t="inlineStr">
        <is>
          <t>Berlin : J. Springer, 1941-57.</t>
        </is>
      </c>
      <c r="M597" t="inlineStr">
        <is>
          <t>1941</t>
        </is>
      </c>
      <c r="O597" t="inlineStr">
        <is>
          <t>ger</t>
        </is>
      </c>
      <c r="P597" t="inlineStr">
        <is>
          <t xml:space="preserve">gw </t>
        </is>
      </c>
      <c r="R597" t="inlineStr">
        <is>
          <t xml:space="preserve">QD </t>
        </is>
      </c>
      <c r="S597" t="n">
        <v>1</v>
      </c>
      <c r="T597" t="n">
        <v>31</v>
      </c>
      <c r="U597" t="inlineStr">
        <is>
          <t>1998-07-28</t>
        </is>
      </c>
      <c r="V597" t="inlineStr">
        <is>
          <t>1998-07-28</t>
        </is>
      </c>
      <c r="W597" t="inlineStr">
        <is>
          <t>1997-06-10</t>
        </is>
      </c>
      <c r="X597" t="inlineStr">
        <is>
          <t>1997-06-10</t>
        </is>
      </c>
      <c r="Y597" t="n">
        <v>76</v>
      </c>
      <c r="Z597" t="n">
        <v>72</v>
      </c>
      <c r="AA597" t="n">
        <v>142</v>
      </c>
      <c r="AB597" t="n">
        <v>1</v>
      </c>
      <c r="AC597" t="n">
        <v>2</v>
      </c>
      <c r="AD597" t="n">
        <v>2</v>
      </c>
      <c r="AE597" t="n">
        <v>3</v>
      </c>
      <c r="AF597" t="n">
        <v>0</v>
      </c>
      <c r="AG597" t="n">
        <v>0</v>
      </c>
      <c r="AH597" t="n">
        <v>2</v>
      </c>
      <c r="AI597" t="n">
        <v>2</v>
      </c>
      <c r="AJ597" t="n">
        <v>1</v>
      </c>
      <c r="AK597" t="n">
        <v>1</v>
      </c>
      <c r="AL597" t="n">
        <v>0</v>
      </c>
      <c r="AM597" t="n">
        <v>1</v>
      </c>
      <c r="AN597" t="n">
        <v>0</v>
      </c>
      <c r="AO597" t="n">
        <v>0</v>
      </c>
      <c r="AP597" t="inlineStr">
        <is>
          <t>No</t>
        </is>
      </c>
      <c r="AQ597" t="inlineStr">
        <is>
          <t>No</t>
        </is>
      </c>
      <c r="AS597">
        <f>HYPERLINK("https://creighton-primo.hosted.exlibrisgroup.com/primo-explore/search?tab=default_tab&amp;search_scope=EVERYTHING&amp;vid=01CRU&amp;lang=en_US&amp;offset=0&amp;query=any,contains,991005370109702656","Catalog Record")</f>
        <v/>
      </c>
      <c r="AT597">
        <f>HYPERLINK("http://www.worldcat.org/oclc/2707352","WorldCat Record")</f>
        <v/>
      </c>
      <c r="AU597" t="inlineStr">
        <is>
          <t>4163096116:ger</t>
        </is>
      </c>
      <c r="AV597" t="inlineStr">
        <is>
          <t>2707352</t>
        </is>
      </c>
      <c r="AW597" t="inlineStr">
        <is>
          <t>991005370109702656</t>
        </is>
      </c>
      <c r="AX597" t="inlineStr">
        <is>
          <t>991005370109702656</t>
        </is>
      </c>
      <c r="AY597" t="inlineStr">
        <is>
          <t>2263428860002656</t>
        </is>
      </c>
      <c r="AZ597" t="inlineStr">
        <is>
          <t>BOOK</t>
        </is>
      </c>
      <c r="BC597" t="inlineStr">
        <is>
          <t>32285002793726</t>
        </is>
      </c>
      <c r="BD597" t="inlineStr">
        <is>
          <t>893527503</t>
        </is>
      </c>
    </row>
    <row r="598">
      <c r="A598" t="inlineStr">
        <is>
          <t>No</t>
        </is>
      </c>
      <c r="B598" t="inlineStr">
        <is>
          <t>QD251 .B43</t>
        </is>
      </c>
      <c r="C598" t="inlineStr">
        <is>
          <t>0                      QD 0251000B  43</t>
        </is>
      </c>
      <c r="D598" t="inlineStr">
        <is>
          <t>Handbuch der organischen Chemie, zweites Ergänzungswerk : die Literatur von 1920-1929 umfassend / hrsg. von der Deutschen Chemischen Gesellschaft ; bearb. von Friedrich Richter. 1.-29. Bd. als Ergänzung des 1.-29. Bandes des Hauptwerkes.</t>
        </is>
      </c>
      <c r="E598" t="inlineStr">
        <is>
          <t>V.20</t>
        </is>
      </c>
      <c r="F598" t="inlineStr">
        <is>
          <t>Yes</t>
        </is>
      </c>
      <c r="G598" t="inlineStr">
        <is>
          <t>1</t>
        </is>
      </c>
      <c r="H598" t="inlineStr">
        <is>
          <t>No</t>
        </is>
      </c>
      <c r="I598" t="inlineStr">
        <is>
          <t>Yes</t>
        </is>
      </c>
      <c r="J598" t="inlineStr">
        <is>
          <t>0</t>
        </is>
      </c>
      <c r="K598" t="inlineStr">
        <is>
          <t>Beilstein, Friedrich Konrad, 1838-1906.</t>
        </is>
      </c>
      <c r="L598" t="inlineStr">
        <is>
          <t>Berlin : J. Springer, 1941-57.</t>
        </is>
      </c>
      <c r="M598" t="inlineStr">
        <is>
          <t>1941</t>
        </is>
      </c>
      <c r="O598" t="inlineStr">
        <is>
          <t>ger</t>
        </is>
      </c>
      <c r="P598" t="inlineStr">
        <is>
          <t xml:space="preserve">gw </t>
        </is>
      </c>
      <c r="R598" t="inlineStr">
        <is>
          <t xml:space="preserve">QD </t>
        </is>
      </c>
      <c r="S598" t="n">
        <v>1</v>
      </c>
      <c r="T598" t="n">
        <v>31</v>
      </c>
      <c r="U598" t="inlineStr">
        <is>
          <t>1998-07-28</t>
        </is>
      </c>
      <c r="V598" t="inlineStr">
        <is>
          <t>1998-07-28</t>
        </is>
      </c>
      <c r="W598" t="inlineStr">
        <is>
          <t>1997-06-10</t>
        </is>
      </c>
      <c r="X598" t="inlineStr">
        <is>
          <t>1997-06-10</t>
        </is>
      </c>
      <c r="Y598" t="n">
        <v>76</v>
      </c>
      <c r="Z598" t="n">
        <v>72</v>
      </c>
      <c r="AA598" t="n">
        <v>142</v>
      </c>
      <c r="AB598" t="n">
        <v>1</v>
      </c>
      <c r="AC598" t="n">
        <v>2</v>
      </c>
      <c r="AD598" t="n">
        <v>2</v>
      </c>
      <c r="AE598" t="n">
        <v>3</v>
      </c>
      <c r="AF598" t="n">
        <v>0</v>
      </c>
      <c r="AG598" t="n">
        <v>0</v>
      </c>
      <c r="AH598" t="n">
        <v>2</v>
      </c>
      <c r="AI598" t="n">
        <v>2</v>
      </c>
      <c r="AJ598" t="n">
        <v>1</v>
      </c>
      <c r="AK598" t="n">
        <v>1</v>
      </c>
      <c r="AL598" t="n">
        <v>0</v>
      </c>
      <c r="AM598" t="n">
        <v>1</v>
      </c>
      <c r="AN598" t="n">
        <v>0</v>
      </c>
      <c r="AO598" t="n">
        <v>0</v>
      </c>
      <c r="AP598" t="inlineStr">
        <is>
          <t>No</t>
        </is>
      </c>
      <c r="AQ598" t="inlineStr">
        <is>
          <t>No</t>
        </is>
      </c>
      <c r="AS598">
        <f>HYPERLINK("https://creighton-primo.hosted.exlibrisgroup.com/primo-explore/search?tab=default_tab&amp;search_scope=EVERYTHING&amp;vid=01CRU&amp;lang=en_US&amp;offset=0&amp;query=any,contains,991005370109702656","Catalog Record")</f>
        <v/>
      </c>
      <c r="AT598">
        <f>HYPERLINK("http://www.worldcat.org/oclc/2707352","WorldCat Record")</f>
        <v/>
      </c>
      <c r="AU598" t="inlineStr">
        <is>
          <t>4163096116:ger</t>
        </is>
      </c>
      <c r="AV598" t="inlineStr">
        <is>
          <t>2707352</t>
        </is>
      </c>
      <c r="AW598" t="inlineStr">
        <is>
          <t>991005370109702656</t>
        </is>
      </c>
      <c r="AX598" t="inlineStr">
        <is>
          <t>991005370109702656</t>
        </is>
      </c>
      <c r="AY598" t="inlineStr">
        <is>
          <t>2263428860002656</t>
        </is>
      </c>
      <c r="AZ598" t="inlineStr">
        <is>
          <t>BOOK</t>
        </is>
      </c>
      <c r="BC598" t="inlineStr">
        <is>
          <t>32285002793627</t>
        </is>
      </c>
      <c r="BD598" t="inlineStr">
        <is>
          <t>893521050</t>
        </is>
      </c>
    </row>
    <row r="599">
      <c r="A599" t="inlineStr">
        <is>
          <t>No</t>
        </is>
      </c>
      <c r="B599" t="inlineStr">
        <is>
          <t>QD251 .B43</t>
        </is>
      </c>
      <c r="C599" t="inlineStr">
        <is>
          <t>0                      QD 0251000B  43</t>
        </is>
      </c>
      <c r="D599" t="inlineStr">
        <is>
          <t>Handbuch der organischen Chemie, zweites Ergänzungswerk : die Literatur von 1920-1929 umfassend / hrsg. von der Deutschen Chemischen Gesellschaft ; bearb. von Friedrich Richter. 1.-29. Bd. als Ergänzung des 1.-29. Bandes des Hauptwerkes.</t>
        </is>
      </c>
      <c r="E599" t="inlineStr">
        <is>
          <t>V.19</t>
        </is>
      </c>
      <c r="F599" t="inlineStr">
        <is>
          <t>Yes</t>
        </is>
      </c>
      <c r="G599" t="inlineStr">
        <is>
          <t>1</t>
        </is>
      </c>
      <c r="H599" t="inlineStr">
        <is>
          <t>No</t>
        </is>
      </c>
      <c r="I599" t="inlineStr">
        <is>
          <t>Yes</t>
        </is>
      </c>
      <c r="J599" t="inlineStr">
        <is>
          <t>0</t>
        </is>
      </c>
      <c r="K599" t="inlineStr">
        <is>
          <t>Beilstein, Friedrich Konrad, 1838-1906.</t>
        </is>
      </c>
      <c r="L599" t="inlineStr">
        <is>
          <t>Berlin : J. Springer, 1941-57.</t>
        </is>
      </c>
      <c r="M599" t="inlineStr">
        <is>
          <t>1941</t>
        </is>
      </c>
      <c r="O599" t="inlineStr">
        <is>
          <t>ger</t>
        </is>
      </c>
      <c r="P599" t="inlineStr">
        <is>
          <t xml:space="preserve">gw </t>
        </is>
      </c>
      <c r="R599" t="inlineStr">
        <is>
          <t xml:space="preserve">QD </t>
        </is>
      </c>
      <c r="S599" t="n">
        <v>1</v>
      </c>
      <c r="T599" t="n">
        <v>31</v>
      </c>
      <c r="U599" t="inlineStr">
        <is>
          <t>1998-07-28</t>
        </is>
      </c>
      <c r="V599" t="inlineStr">
        <is>
          <t>1998-07-28</t>
        </is>
      </c>
      <c r="W599" t="inlineStr">
        <is>
          <t>1997-06-10</t>
        </is>
      </c>
      <c r="X599" t="inlineStr">
        <is>
          <t>1997-06-10</t>
        </is>
      </c>
      <c r="Y599" t="n">
        <v>76</v>
      </c>
      <c r="Z599" t="n">
        <v>72</v>
      </c>
      <c r="AA599" t="n">
        <v>142</v>
      </c>
      <c r="AB599" t="n">
        <v>1</v>
      </c>
      <c r="AC599" t="n">
        <v>2</v>
      </c>
      <c r="AD599" t="n">
        <v>2</v>
      </c>
      <c r="AE599" t="n">
        <v>3</v>
      </c>
      <c r="AF599" t="n">
        <v>0</v>
      </c>
      <c r="AG599" t="n">
        <v>0</v>
      </c>
      <c r="AH599" t="n">
        <v>2</v>
      </c>
      <c r="AI599" t="n">
        <v>2</v>
      </c>
      <c r="AJ599" t="n">
        <v>1</v>
      </c>
      <c r="AK599" t="n">
        <v>1</v>
      </c>
      <c r="AL599" t="n">
        <v>0</v>
      </c>
      <c r="AM599" t="n">
        <v>1</v>
      </c>
      <c r="AN599" t="n">
        <v>0</v>
      </c>
      <c r="AO599" t="n">
        <v>0</v>
      </c>
      <c r="AP599" t="inlineStr">
        <is>
          <t>No</t>
        </is>
      </c>
      <c r="AQ599" t="inlineStr">
        <is>
          <t>No</t>
        </is>
      </c>
      <c r="AS599">
        <f>HYPERLINK("https://creighton-primo.hosted.exlibrisgroup.com/primo-explore/search?tab=default_tab&amp;search_scope=EVERYTHING&amp;vid=01CRU&amp;lang=en_US&amp;offset=0&amp;query=any,contains,991005370109702656","Catalog Record")</f>
        <v/>
      </c>
      <c r="AT599">
        <f>HYPERLINK("http://www.worldcat.org/oclc/2707352","WorldCat Record")</f>
        <v/>
      </c>
      <c r="AU599" t="inlineStr">
        <is>
          <t>4163096116:ger</t>
        </is>
      </c>
      <c r="AV599" t="inlineStr">
        <is>
          <t>2707352</t>
        </is>
      </c>
      <c r="AW599" t="inlineStr">
        <is>
          <t>991005370109702656</t>
        </is>
      </c>
      <c r="AX599" t="inlineStr">
        <is>
          <t>991005370109702656</t>
        </is>
      </c>
      <c r="AY599" t="inlineStr">
        <is>
          <t>2263428860002656</t>
        </is>
      </c>
      <c r="AZ599" t="inlineStr">
        <is>
          <t>BOOK</t>
        </is>
      </c>
      <c r="BC599" t="inlineStr">
        <is>
          <t>32285002793619</t>
        </is>
      </c>
      <c r="BD599" t="inlineStr">
        <is>
          <t>893508141</t>
        </is>
      </c>
    </row>
    <row r="600">
      <c r="A600" t="inlineStr">
        <is>
          <t>No</t>
        </is>
      </c>
      <c r="B600" t="inlineStr">
        <is>
          <t>QD251 .B43</t>
        </is>
      </c>
      <c r="C600" t="inlineStr">
        <is>
          <t>0                      QD 0251000B  43</t>
        </is>
      </c>
      <c r="D600" t="inlineStr">
        <is>
          <t>Handbuch der organischen Chemie, zweites Ergänzungswerk : die Literatur von 1920-1929 umfassend / hrsg. von der Deutschen Chemischen Gesellschaft ; bearb. von Friedrich Richter. 1.-29. Bd. als Ergänzung des 1.-29. Bandes des Hauptwerkes.</t>
        </is>
      </c>
      <c r="E600" t="inlineStr">
        <is>
          <t>V.11</t>
        </is>
      </c>
      <c r="F600" t="inlineStr">
        <is>
          <t>Yes</t>
        </is>
      </c>
      <c r="G600" t="inlineStr">
        <is>
          <t>1</t>
        </is>
      </c>
      <c r="H600" t="inlineStr">
        <is>
          <t>No</t>
        </is>
      </c>
      <c r="I600" t="inlineStr">
        <is>
          <t>Yes</t>
        </is>
      </c>
      <c r="J600" t="inlineStr">
        <is>
          <t>0</t>
        </is>
      </c>
      <c r="K600" t="inlineStr">
        <is>
          <t>Beilstein, Friedrich Konrad, 1838-1906.</t>
        </is>
      </c>
      <c r="L600" t="inlineStr">
        <is>
          <t>Berlin : J. Springer, 1941-57.</t>
        </is>
      </c>
      <c r="M600" t="inlineStr">
        <is>
          <t>1941</t>
        </is>
      </c>
      <c r="O600" t="inlineStr">
        <is>
          <t>ger</t>
        </is>
      </c>
      <c r="P600" t="inlineStr">
        <is>
          <t xml:space="preserve">gw </t>
        </is>
      </c>
      <c r="R600" t="inlineStr">
        <is>
          <t xml:space="preserve">QD </t>
        </is>
      </c>
      <c r="S600" t="n">
        <v>1</v>
      </c>
      <c r="T600" t="n">
        <v>31</v>
      </c>
      <c r="U600" t="inlineStr">
        <is>
          <t>1998-07-28</t>
        </is>
      </c>
      <c r="V600" t="inlineStr">
        <is>
          <t>1998-07-28</t>
        </is>
      </c>
      <c r="W600" t="inlineStr">
        <is>
          <t>1997-06-10</t>
        </is>
      </c>
      <c r="X600" t="inlineStr">
        <is>
          <t>1997-06-10</t>
        </is>
      </c>
      <c r="Y600" t="n">
        <v>76</v>
      </c>
      <c r="Z600" t="n">
        <v>72</v>
      </c>
      <c r="AA600" t="n">
        <v>142</v>
      </c>
      <c r="AB600" t="n">
        <v>1</v>
      </c>
      <c r="AC600" t="n">
        <v>2</v>
      </c>
      <c r="AD600" t="n">
        <v>2</v>
      </c>
      <c r="AE600" t="n">
        <v>3</v>
      </c>
      <c r="AF600" t="n">
        <v>0</v>
      </c>
      <c r="AG600" t="n">
        <v>0</v>
      </c>
      <c r="AH600" t="n">
        <v>2</v>
      </c>
      <c r="AI600" t="n">
        <v>2</v>
      </c>
      <c r="AJ600" t="n">
        <v>1</v>
      </c>
      <c r="AK600" t="n">
        <v>1</v>
      </c>
      <c r="AL600" t="n">
        <v>0</v>
      </c>
      <c r="AM600" t="n">
        <v>1</v>
      </c>
      <c r="AN600" t="n">
        <v>0</v>
      </c>
      <c r="AO600" t="n">
        <v>0</v>
      </c>
      <c r="AP600" t="inlineStr">
        <is>
          <t>No</t>
        </is>
      </c>
      <c r="AQ600" t="inlineStr">
        <is>
          <t>No</t>
        </is>
      </c>
      <c r="AS600">
        <f>HYPERLINK("https://creighton-primo.hosted.exlibrisgroup.com/primo-explore/search?tab=default_tab&amp;search_scope=EVERYTHING&amp;vid=01CRU&amp;lang=en_US&amp;offset=0&amp;query=any,contains,991005370109702656","Catalog Record")</f>
        <v/>
      </c>
      <c r="AT600">
        <f>HYPERLINK("http://www.worldcat.org/oclc/2707352","WorldCat Record")</f>
        <v/>
      </c>
      <c r="AU600" t="inlineStr">
        <is>
          <t>4163096116:ger</t>
        </is>
      </c>
      <c r="AV600" t="inlineStr">
        <is>
          <t>2707352</t>
        </is>
      </c>
      <c r="AW600" t="inlineStr">
        <is>
          <t>991005370109702656</t>
        </is>
      </c>
      <c r="AX600" t="inlineStr">
        <is>
          <t>991005370109702656</t>
        </is>
      </c>
      <c r="AY600" t="inlineStr">
        <is>
          <t>2263428860002656</t>
        </is>
      </c>
      <c r="AZ600" t="inlineStr">
        <is>
          <t>BOOK</t>
        </is>
      </c>
      <c r="BC600" t="inlineStr">
        <is>
          <t>32285002793536</t>
        </is>
      </c>
      <c r="BD600" t="inlineStr">
        <is>
          <t>893536605</t>
        </is>
      </c>
    </row>
    <row r="601">
      <c r="A601" t="inlineStr">
        <is>
          <t>No</t>
        </is>
      </c>
      <c r="B601" t="inlineStr">
        <is>
          <t>QD251 .B43</t>
        </is>
      </c>
      <c r="C601" t="inlineStr">
        <is>
          <t>0                      QD 0251000B  43</t>
        </is>
      </c>
      <c r="D601" t="inlineStr">
        <is>
          <t>Handbuch der organischen Chemie, zweites Ergänzungswerk : die Literatur von 1920-1929 umfassend / hrsg. von der Deutschen Chemischen Gesellschaft ; bearb. von Friedrich Richter. 1.-29. Bd. als Ergänzung des 1.-29. Bandes des Hauptwerkes.</t>
        </is>
      </c>
      <c r="E601" t="inlineStr">
        <is>
          <t>V.21</t>
        </is>
      </c>
      <c r="F601" t="inlineStr">
        <is>
          <t>Yes</t>
        </is>
      </c>
      <c r="G601" t="inlineStr">
        <is>
          <t>1</t>
        </is>
      </c>
      <c r="H601" t="inlineStr">
        <is>
          <t>No</t>
        </is>
      </c>
      <c r="I601" t="inlineStr">
        <is>
          <t>Yes</t>
        </is>
      </c>
      <c r="J601" t="inlineStr">
        <is>
          <t>0</t>
        </is>
      </c>
      <c r="K601" t="inlineStr">
        <is>
          <t>Beilstein, Friedrich Konrad, 1838-1906.</t>
        </is>
      </c>
      <c r="L601" t="inlineStr">
        <is>
          <t>Berlin : J. Springer, 1941-57.</t>
        </is>
      </c>
      <c r="M601" t="inlineStr">
        <is>
          <t>1941</t>
        </is>
      </c>
      <c r="O601" t="inlineStr">
        <is>
          <t>ger</t>
        </is>
      </c>
      <c r="P601" t="inlineStr">
        <is>
          <t xml:space="preserve">gw </t>
        </is>
      </c>
      <c r="R601" t="inlineStr">
        <is>
          <t xml:space="preserve">QD </t>
        </is>
      </c>
      <c r="S601" t="n">
        <v>1</v>
      </c>
      <c r="T601" t="n">
        <v>31</v>
      </c>
      <c r="U601" t="inlineStr">
        <is>
          <t>1998-07-28</t>
        </is>
      </c>
      <c r="V601" t="inlineStr">
        <is>
          <t>1998-07-28</t>
        </is>
      </c>
      <c r="W601" t="inlineStr">
        <is>
          <t>1997-06-10</t>
        </is>
      </c>
      <c r="X601" t="inlineStr">
        <is>
          <t>1997-06-10</t>
        </is>
      </c>
      <c r="Y601" t="n">
        <v>76</v>
      </c>
      <c r="Z601" t="n">
        <v>72</v>
      </c>
      <c r="AA601" t="n">
        <v>142</v>
      </c>
      <c r="AB601" t="n">
        <v>1</v>
      </c>
      <c r="AC601" t="n">
        <v>2</v>
      </c>
      <c r="AD601" t="n">
        <v>2</v>
      </c>
      <c r="AE601" t="n">
        <v>3</v>
      </c>
      <c r="AF601" t="n">
        <v>0</v>
      </c>
      <c r="AG601" t="n">
        <v>0</v>
      </c>
      <c r="AH601" t="n">
        <v>2</v>
      </c>
      <c r="AI601" t="n">
        <v>2</v>
      </c>
      <c r="AJ601" t="n">
        <v>1</v>
      </c>
      <c r="AK601" t="n">
        <v>1</v>
      </c>
      <c r="AL601" t="n">
        <v>0</v>
      </c>
      <c r="AM601" t="n">
        <v>1</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HYPERLINK("https://creighton-primo.hosted.exlibrisgroup.com/primo-explore/search?tab=default_tab&amp;search_scope=EVERYTHING&amp;vid=01CRU&amp;lang=en_US&amp;offset=0&amp;query=any,contains,991005370109702656","Catalog Record")</f>
        <v/>
      </c>
      <c r="AT601">
        <f>HYPERLINK("http://www.worldcat.org/oclc/2707352","WorldCat Record")</f>
        <v/>
      </c>
      <c r="AU601" t="inlineStr">
        <is>
          <t>4163096116:ger</t>
        </is>
      </c>
      <c r="AV601" t="inlineStr">
        <is>
          <t>2707352</t>
        </is>
      </c>
      <c r="AW601" t="inlineStr">
        <is>
          <t>991005370109702656</t>
        </is>
      </c>
      <c r="AX601" t="inlineStr">
        <is>
          <t>991005370109702656</t>
        </is>
      </c>
      <c r="AY601" t="inlineStr">
        <is>
          <t>2263428860002656</t>
        </is>
      </c>
      <c r="AZ601" t="inlineStr">
        <is>
          <t>BOOK</t>
        </is>
      </c>
      <c r="BC601" t="inlineStr">
        <is>
          <t>32285002793635</t>
        </is>
      </c>
      <c r="BD601" t="inlineStr">
        <is>
          <t>893508135</t>
        </is>
      </c>
    </row>
    <row r="602">
      <c r="A602" t="inlineStr">
        <is>
          <t>No</t>
        </is>
      </c>
      <c r="B602" t="inlineStr">
        <is>
          <t>QD251 .B45</t>
        </is>
      </c>
      <c r="C602" t="inlineStr">
        <is>
          <t>0                      QD 0251000B  45</t>
        </is>
      </c>
      <c r="D602"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02" t="inlineStr">
        <is>
          <t>V.2 PT.2</t>
        </is>
      </c>
      <c r="F602" t="inlineStr">
        <is>
          <t>Yes</t>
        </is>
      </c>
      <c r="G602" t="inlineStr">
        <is>
          <t>1</t>
        </is>
      </c>
      <c r="H602" t="inlineStr">
        <is>
          <t>No</t>
        </is>
      </c>
      <c r="I602" t="inlineStr">
        <is>
          <t>No</t>
        </is>
      </c>
      <c r="J602" t="inlineStr">
        <is>
          <t>0</t>
        </is>
      </c>
      <c r="L602" t="inlineStr">
        <is>
          <t>Berlin ; New York : Springer, 1972-</t>
        </is>
      </c>
      <c r="M602" t="inlineStr">
        <is>
          <t>1972</t>
        </is>
      </c>
      <c r="O602" t="inlineStr">
        <is>
          <t>ger</t>
        </is>
      </c>
      <c r="P602" t="inlineStr">
        <is>
          <t xml:space="preserve">gw </t>
        </is>
      </c>
      <c r="R602" t="inlineStr">
        <is>
          <t xml:space="preserve">QD </t>
        </is>
      </c>
      <c r="S602" t="n">
        <v>1</v>
      </c>
      <c r="T602" t="n">
        <v>17</v>
      </c>
      <c r="U602" t="inlineStr">
        <is>
          <t>1998-07-28</t>
        </is>
      </c>
      <c r="V602" t="inlineStr">
        <is>
          <t>1998-07-28</t>
        </is>
      </c>
      <c r="W602" t="inlineStr">
        <is>
          <t>1998-07-28</t>
        </is>
      </c>
      <c r="X602" t="inlineStr">
        <is>
          <t>1998-07-28</t>
        </is>
      </c>
      <c r="Y602" t="n">
        <v>135</v>
      </c>
      <c r="Z602" t="n">
        <v>109</v>
      </c>
      <c r="AA602" t="n">
        <v>111</v>
      </c>
      <c r="AB602" t="n">
        <v>1</v>
      </c>
      <c r="AC602" t="n">
        <v>1</v>
      </c>
      <c r="AD602" t="n">
        <v>4</v>
      </c>
      <c r="AE602" t="n">
        <v>4</v>
      </c>
      <c r="AF602" t="n">
        <v>0</v>
      </c>
      <c r="AG602" t="n">
        <v>0</v>
      </c>
      <c r="AH602" t="n">
        <v>1</v>
      </c>
      <c r="AI602" t="n">
        <v>1</v>
      </c>
      <c r="AJ602" t="n">
        <v>4</v>
      </c>
      <c r="AK602" t="n">
        <v>4</v>
      </c>
      <c r="AL602" t="n">
        <v>0</v>
      </c>
      <c r="AM602" t="n">
        <v>0</v>
      </c>
      <c r="AN602" t="n">
        <v>0</v>
      </c>
      <c r="AO602" t="n">
        <v>0</v>
      </c>
      <c r="AP602" t="inlineStr">
        <is>
          <t>No</t>
        </is>
      </c>
      <c r="AQ602" t="inlineStr">
        <is>
          <t>No</t>
        </is>
      </c>
      <c r="AS602">
        <f>HYPERLINK("https://creighton-primo.hosted.exlibrisgroup.com/primo-explore/search?tab=default_tab&amp;search_scope=EVERYTHING&amp;vid=01CRU&amp;lang=en_US&amp;offset=0&amp;query=any,contains,991005404129702656","Catalog Record")</f>
        <v/>
      </c>
      <c r="AT602">
        <f>HYPERLINK("http://www.worldcat.org/oclc/10777670","WorldCat Record")</f>
        <v/>
      </c>
      <c r="AU602" t="inlineStr">
        <is>
          <t>3375798039:ger</t>
        </is>
      </c>
      <c r="AV602" t="inlineStr">
        <is>
          <t>10777670</t>
        </is>
      </c>
      <c r="AW602" t="inlineStr">
        <is>
          <t>991005404129702656</t>
        </is>
      </c>
      <c r="AX602" t="inlineStr">
        <is>
          <t>991005404129702656</t>
        </is>
      </c>
      <c r="AY602" t="inlineStr">
        <is>
          <t>2265387610002656</t>
        </is>
      </c>
      <c r="AZ602" t="inlineStr">
        <is>
          <t>BOOK</t>
        </is>
      </c>
      <c r="BC602" t="inlineStr">
        <is>
          <t>32285003438388</t>
        </is>
      </c>
      <c r="BD602" t="inlineStr">
        <is>
          <t>893533783</t>
        </is>
      </c>
    </row>
    <row r="603">
      <c r="A603" t="inlineStr">
        <is>
          <t>No</t>
        </is>
      </c>
      <c r="B603" t="inlineStr">
        <is>
          <t>QD251 .B45</t>
        </is>
      </c>
      <c r="C603" t="inlineStr">
        <is>
          <t>0                      QD 0251000B  45</t>
        </is>
      </c>
      <c r="D603"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03" t="inlineStr">
        <is>
          <t>V.5 PT.1</t>
        </is>
      </c>
      <c r="F603" t="inlineStr">
        <is>
          <t>Yes</t>
        </is>
      </c>
      <c r="G603" t="inlineStr">
        <is>
          <t>1</t>
        </is>
      </c>
      <c r="H603" t="inlineStr">
        <is>
          <t>No</t>
        </is>
      </c>
      <c r="I603" t="inlineStr">
        <is>
          <t>No</t>
        </is>
      </c>
      <c r="J603" t="inlineStr">
        <is>
          <t>0</t>
        </is>
      </c>
      <c r="L603" t="inlineStr">
        <is>
          <t>Berlin ; New York : Springer, 1972-</t>
        </is>
      </c>
      <c r="M603" t="inlineStr">
        <is>
          <t>1972</t>
        </is>
      </c>
      <c r="O603" t="inlineStr">
        <is>
          <t>ger</t>
        </is>
      </c>
      <c r="P603" t="inlineStr">
        <is>
          <t xml:space="preserve">gw </t>
        </is>
      </c>
      <c r="R603" t="inlineStr">
        <is>
          <t xml:space="preserve">QD </t>
        </is>
      </c>
      <c r="S603" t="n">
        <v>1</v>
      </c>
      <c r="T603" t="n">
        <v>17</v>
      </c>
      <c r="U603" t="inlineStr">
        <is>
          <t>1998-07-28</t>
        </is>
      </c>
      <c r="V603" t="inlineStr">
        <is>
          <t>1998-07-28</t>
        </is>
      </c>
      <c r="W603" t="inlineStr">
        <is>
          <t>1998-07-28</t>
        </is>
      </c>
      <c r="X603" t="inlineStr">
        <is>
          <t>1998-07-28</t>
        </is>
      </c>
      <c r="Y603" t="n">
        <v>135</v>
      </c>
      <c r="Z603" t="n">
        <v>109</v>
      </c>
      <c r="AA603" t="n">
        <v>111</v>
      </c>
      <c r="AB603" t="n">
        <v>1</v>
      </c>
      <c r="AC603" t="n">
        <v>1</v>
      </c>
      <c r="AD603" t="n">
        <v>4</v>
      </c>
      <c r="AE603" t="n">
        <v>4</v>
      </c>
      <c r="AF603" t="n">
        <v>0</v>
      </c>
      <c r="AG603" t="n">
        <v>0</v>
      </c>
      <c r="AH603" t="n">
        <v>1</v>
      </c>
      <c r="AI603" t="n">
        <v>1</v>
      </c>
      <c r="AJ603" t="n">
        <v>4</v>
      </c>
      <c r="AK603" t="n">
        <v>4</v>
      </c>
      <c r="AL603" t="n">
        <v>0</v>
      </c>
      <c r="AM603" t="n">
        <v>0</v>
      </c>
      <c r="AN603" t="n">
        <v>0</v>
      </c>
      <c r="AO603" t="n">
        <v>0</v>
      </c>
      <c r="AP603" t="inlineStr">
        <is>
          <t>No</t>
        </is>
      </c>
      <c r="AQ603" t="inlineStr">
        <is>
          <t>No</t>
        </is>
      </c>
      <c r="AS603">
        <f>HYPERLINK("https://creighton-primo.hosted.exlibrisgroup.com/primo-explore/search?tab=default_tab&amp;search_scope=EVERYTHING&amp;vid=01CRU&amp;lang=en_US&amp;offset=0&amp;query=any,contains,991005404129702656","Catalog Record")</f>
        <v/>
      </c>
      <c r="AT603">
        <f>HYPERLINK("http://www.worldcat.org/oclc/10777670","WorldCat Record")</f>
        <v/>
      </c>
      <c r="AU603" t="inlineStr">
        <is>
          <t>3375798039:ger</t>
        </is>
      </c>
      <c r="AV603" t="inlineStr">
        <is>
          <t>10777670</t>
        </is>
      </c>
      <c r="AW603" t="inlineStr">
        <is>
          <t>991005404129702656</t>
        </is>
      </c>
      <c r="AX603" t="inlineStr">
        <is>
          <t>991005404129702656</t>
        </is>
      </c>
      <c r="AY603" t="inlineStr">
        <is>
          <t>2265387610002656</t>
        </is>
      </c>
      <c r="AZ603" t="inlineStr">
        <is>
          <t>BOOK</t>
        </is>
      </c>
      <c r="BC603" t="inlineStr">
        <is>
          <t>32285003438438</t>
        </is>
      </c>
      <c r="BD603" t="inlineStr">
        <is>
          <t>893527565</t>
        </is>
      </c>
    </row>
    <row r="604">
      <c r="A604" t="inlineStr">
        <is>
          <t>No</t>
        </is>
      </c>
      <c r="B604" t="inlineStr">
        <is>
          <t>QD251 .B45</t>
        </is>
      </c>
      <c r="C604" t="inlineStr">
        <is>
          <t>0                      QD 0251000B  45</t>
        </is>
      </c>
      <c r="D604"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04" t="inlineStr">
        <is>
          <t>V.1 PT.4</t>
        </is>
      </c>
      <c r="F604" t="inlineStr">
        <is>
          <t>Yes</t>
        </is>
      </c>
      <c r="G604" t="inlineStr">
        <is>
          <t>1</t>
        </is>
      </c>
      <c r="H604" t="inlineStr">
        <is>
          <t>No</t>
        </is>
      </c>
      <c r="I604" t="inlineStr">
        <is>
          <t>No</t>
        </is>
      </c>
      <c r="J604" t="inlineStr">
        <is>
          <t>0</t>
        </is>
      </c>
      <c r="L604" t="inlineStr">
        <is>
          <t>Berlin ; New York : Springer, 1972-</t>
        </is>
      </c>
      <c r="M604" t="inlineStr">
        <is>
          <t>1972</t>
        </is>
      </c>
      <c r="O604" t="inlineStr">
        <is>
          <t>ger</t>
        </is>
      </c>
      <c r="P604" t="inlineStr">
        <is>
          <t xml:space="preserve">gw </t>
        </is>
      </c>
      <c r="R604" t="inlineStr">
        <is>
          <t xml:space="preserve">QD </t>
        </is>
      </c>
      <c r="S604" t="n">
        <v>1</v>
      </c>
      <c r="T604" t="n">
        <v>17</v>
      </c>
      <c r="U604" t="inlineStr">
        <is>
          <t>1998-07-28</t>
        </is>
      </c>
      <c r="V604" t="inlineStr">
        <is>
          <t>1998-07-28</t>
        </is>
      </c>
      <c r="W604" t="inlineStr">
        <is>
          <t>1998-07-28</t>
        </is>
      </c>
      <c r="X604" t="inlineStr">
        <is>
          <t>1998-07-28</t>
        </is>
      </c>
      <c r="Y604" t="n">
        <v>135</v>
      </c>
      <c r="Z604" t="n">
        <v>109</v>
      </c>
      <c r="AA604" t="n">
        <v>111</v>
      </c>
      <c r="AB604" t="n">
        <v>1</v>
      </c>
      <c r="AC604" t="n">
        <v>1</v>
      </c>
      <c r="AD604" t="n">
        <v>4</v>
      </c>
      <c r="AE604" t="n">
        <v>4</v>
      </c>
      <c r="AF604" t="n">
        <v>0</v>
      </c>
      <c r="AG604" t="n">
        <v>0</v>
      </c>
      <c r="AH604" t="n">
        <v>1</v>
      </c>
      <c r="AI604" t="n">
        <v>1</v>
      </c>
      <c r="AJ604" t="n">
        <v>4</v>
      </c>
      <c r="AK604" t="n">
        <v>4</v>
      </c>
      <c r="AL604" t="n">
        <v>0</v>
      </c>
      <c r="AM604" t="n">
        <v>0</v>
      </c>
      <c r="AN604" t="n">
        <v>0</v>
      </c>
      <c r="AO604" t="n">
        <v>0</v>
      </c>
      <c r="AP604" t="inlineStr">
        <is>
          <t>No</t>
        </is>
      </c>
      <c r="AQ604" t="inlineStr">
        <is>
          <t>No</t>
        </is>
      </c>
      <c r="AS604">
        <f>HYPERLINK("https://creighton-primo.hosted.exlibrisgroup.com/primo-explore/search?tab=default_tab&amp;search_scope=EVERYTHING&amp;vid=01CRU&amp;lang=en_US&amp;offset=0&amp;query=any,contains,991005404129702656","Catalog Record")</f>
        <v/>
      </c>
      <c r="AT604">
        <f>HYPERLINK("http://www.worldcat.org/oclc/10777670","WorldCat Record")</f>
        <v/>
      </c>
      <c r="AU604" t="inlineStr">
        <is>
          <t>3375798039:ger</t>
        </is>
      </c>
      <c r="AV604" t="inlineStr">
        <is>
          <t>10777670</t>
        </is>
      </c>
      <c r="AW604" t="inlineStr">
        <is>
          <t>991005404129702656</t>
        </is>
      </c>
      <c r="AX604" t="inlineStr">
        <is>
          <t>991005404129702656</t>
        </is>
      </c>
      <c r="AY604" t="inlineStr">
        <is>
          <t>2265387610002656</t>
        </is>
      </c>
      <c r="AZ604" t="inlineStr">
        <is>
          <t>BOOK</t>
        </is>
      </c>
      <c r="BC604" t="inlineStr">
        <is>
          <t>32285003438347</t>
        </is>
      </c>
      <c r="BD604" t="inlineStr">
        <is>
          <t>893533780</t>
        </is>
      </c>
    </row>
    <row r="605">
      <c r="A605" t="inlineStr">
        <is>
          <t>No</t>
        </is>
      </c>
      <c r="B605" t="inlineStr">
        <is>
          <t>QD251 .B45</t>
        </is>
      </c>
      <c r="C605" t="inlineStr">
        <is>
          <t>0                      QD 0251000B  45</t>
        </is>
      </c>
      <c r="D605"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05" t="inlineStr">
        <is>
          <t>V.2 PT.1</t>
        </is>
      </c>
      <c r="F605" t="inlineStr">
        <is>
          <t>Yes</t>
        </is>
      </c>
      <c r="G605" t="inlineStr">
        <is>
          <t>1</t>
        </is>
      </c>
      <c r="H605" t="inlineStr">
        <is>
          <t>No</t>
        </is>
      </c>
      <c r="I605" t="inlineStr">
        <is>
          <t>No</t>
        </is>
      </c>
      <c r="J605" t="inlineStr">
        <is>
          <t>0</t>
        </is>
      </c>
      <c r="L605" t="inlineStr">
        <is>
          <t>Berlin ; New York : Springer, 1972-</t>
        </is>
      </c>
      <c r="M605" t="inlineStr">
        <is>
          <t>1972</t>
        </is>
      </c>
      <c r="O605" t="inlineStr">
        <is>
          <t>ger</t>
        </is>
      </c>
      <c r="P605" t="inlineStr">
        <is>
          <t xml:space="preserve">gw </t>
        </is>
      </c>
      <c r="R605" t="inlineStr">
        <is>
          <t xml:space="preserve">QD </t>
        </is>
      </c>
      <c r="S605" t="n">
        <v>1</v>
      </c>
      <c r="T605" t="n">
        <v>17</v>
      </c>
      <c r="U605" t="inlineStr">
        <is>
          <t>1998-07-28</t>
        </is>
      </c>
      <c r="V605" t="inlineStr">
        <is>
          <t>1998-07-28</t>
        </is>
      </c>
      <c r="W605" t="inlineStr">
        <is>
          <t>1998-07-28</t>
        </is>
      </c>
      <c r="X605" t="inlineStr">
        <is>
          <t>1998-07-28</t>
        </is>
      </c>
      <c r="Y605" t="n">
        <v>135</v>
      </c>
      <c r="Z605" t="n">
        <v>109</v>
      </c>
      <c r="AA605" t="n">
        <v>111</v>
      </c>
      <c r="AB605" t="n">
        <v>1</v>
      </c>
      <c r="AC605" t="n">
        <v>1</v>
      </c>
      <c r="AD605" t="n">
        <v>4</v>
      </c>
      <c r="AE605" t="n">
        <v>4</v>
      </c>
      <c r="AF605" t="n">
        <v>0</v>
      </c>
      <c r="AG605" t="n">
        <v>0</v>
      </c>
      <c r="AH605" t="n">
        <v>1</v>
      </c>
      <c r="AI605" t="n">
        <v>1</v>
      </c>
      <c r="AJ605" t="n">
        <v>4</v>
      </c>
      <c r="AK605" t="n">
        <v>4</v>
      </c>
      <c r="AL605" t="n">
        <v>0</v>
      </c>
      <c r="AM605" t="n">
        <v>0</v>
      </c>
      <c r="AN605" t="n">
        <v>0</v>
      </c>
      <c r="AO605" t="n">
        <v>0</v>
      </c>
      <c r="AP605" t="inlineStr">
        <is>
          <t>No</t>
        </is>
      </c>
      <c r="AQ605" t="inlineStr">
        <is>
          <t>No</t>
        </is>
      </c>
      <c r="AS605">
        <f>HYPERLINK("https://creighton-primo.hosted.exlibrisgroup.com/primo-explore/search?tab=default_tab&amp;search_scope=EVERYTHING&amp;vid=01CRU&amp;lang=en_US&amp;offset=0&amp;query=any,contains,991005404129702656","Catalog Record")</f>
        <v/>
      </c>
      <c r="AT605">
        <f>HYPERLINK("http://www.worldcat.org/oclc/10777670","WorldCat Record")</f>
        <v/>
      </c>
      <c r="AU605" t="inlineStr">
        <is>
          <t>3375798039:ger</t>
        </is>
      </c>
      <c r="AV605" t="inlineStr">
        <is>
          <t>10777670</t>
        </is>
      </c>
      <c r="AW605" t="inlineStr">
        <is>
          <t>991005404129702656</t>
        </is>
      </c>
      <c r="AX605" t="inlineStr">
        <is>
          <t>991005404129702656</t>
        </is>
      </c>
      <c r="AY605" t="inlineStr">
        <is>
          <t>2265387610002656</t>
        </is>
      </c>
      <c r="AZ605" t="inlineStr">
        <is>
          <t>BOOK</t>
        </is>
      </c>
      <c r="BC605" t="inlineStr">
        <is>
          <t>32285003438370</t>
        </is>
      </c>
      <c r="BD605" t="inlineStr">
        <is>
          <t>893533779</t>
        </is>
      </c>
    </row>
    <row r="606">
      <c r="A606" t="inlineStr">
        <is>
          <t>No</t>
        </is>
      </c>
      <c r="B606" t="inlineStr">
        <is>
          <t>QD251 .B45</t>
        </is>
      </c>
      <c r="C606" t="inlineStr">
        <is>
          <t>0                      QD 0251000B  45</t>
        </is>
      </c>
      <c r="D606"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06" t="inlineStr">
        <is>
          <t>V.1 PT.2</t>
        </is>
      </c>
      <c r="F606" t="inlineStr">
        <is>
          <t>Yes</t>
        </is>
      </c>
      <c r="G606" t="inlineStr">
        <is>
          <t>1</t>
        </is>
      </c>
      <c r="H606" t="inlineStr">
        <is>
          <t>No</t>
        </is>
      </c>
      <c r="I606" t="inlineStr">
        <is>
          <t>No</t>
        </is>
      </c>
      <c r="J606" t="inlineStr">
        <is>
          <t>0</t>
        </is>
      </c>
      <c r="L606" t="inlineStr">
        <is>
          <t>Berlin ; New York : Springer, 1972-</t>
        </is>
      </c>
      <c r="M606" t="inlineStr">
        <is>
          <t>1972</t>
        </is>
      </c>
      <c r="O606" t="inlineStr">
        <is>
          <t>ger</t>
        </is>
      </c>
      <c r="P606" t="inlineStr">
        <is>
          <t xml:space="preserve">gw </t>
        </is>
      </c>
      <c r="R606" t="inlineStr">
        <is>
          <t xml:space="preserve">QD </t>
        </is>
      </c>
      <c r="S606" t="n">
        <v>1</v>
      </c>
      <c r="T606" t="n">
        <v>17</v>
      </c>
      <c r="U606" t="inlineStr">
        <is>
          <t>1998-07-28</t>
        </is>
      </c>
      <c r="V606" t="inlineStr">
        <is>
          <t>1998-07-28</t>
        </is>
      </c>
      <c r="W606" t="inlineStr">
        <is>
          <t>1998-07-28</t>
        </is>
      </c>
      <c r="X606" t="inlineStr">
        <is>
          <t>1998-07-28</t>
        </is>
      </c>
      <c r="Y606" t="n">
        <v>135</v>
      </c>
      <c r="Z606" t="n">
        <v>109</v>
      </c>
      <c r="AA606" t="n">
        <v>111</v>
      </c>
      <c r="AB606" t="n">
        <v>1</v>
      </c>
      <c r="AC606" t="n">
        <v>1</v>
      </c>
      <c r="AD606" t="n">
        <v>4</v>
      </c>
      <c r="AE606" t="n">
        <v>4</v>
      </c>
      <c r="AF606" t="n">
        <v>0</v>
      </c>
      <c r="AG606" t="n">
        <v>0</v>
      </c>
      <c r="AH606" t="n">
        <v>1</v>
      </c>
      <c r="AI606" t="n">
        <v>1</v>
      </c>
      <c r="AJ606" t="n">
        <v>4</v>
      </c>
      <c r="AK606" t="n">
        <v>4</v>
      </c>
      <c r="AL606" t="n">
        <v>0</v>
      </c>
      <c r="AM606" t="n">
        <v>0</v>
      </c>
      <c r="AN606" t="n">
        <v>0</v>
      </c>
      <c r="AO606" t="n">
        <v>0</v>
      </c>
      <c r="AP606" t="inlineStr">
        <is>
          <t>No</t>
        </is>
      </c>
      <c r="AQ606" t="inlineStr">
        <is>
          <t>No</t>
        </is>
      </c>
      <c r="AS606">
        <f>HYPERLINK("https://creighton-primo.hosted.exlibrisgroup.com/primo-explore/search?tab=default_tab&amp;search_scope=EVERYTHING&amp;vid=01CRU&amp;lang=en_US&amp;offset=0&amp;query=any,contains,991005404129702656","Catalog Record")</f>
        <v/>
      </c>
      <c r="AT606">
        <f>HYPERLINK("http://www.worldcat.org/oclc/10777670","WorldCat Record")</f>
        <v/>
      </c>
      <c r="AU606" t="inlineStr">
        <is>
          <t>3375798039:ger</t>
        </is>
      </c>
      <c r="AV606" t="inlineStr">
        <is>
          <t>10777670</t>
        </is>
      </c>
      <c r="AW606" t="inlineStr">
        <is>
          <t>991005404129702656</t>
        </is>
      </c>
      <c r="AX606" t="inlineStr">
        <is>
          <t>991005404129702656</t>
        </is>
      </c>
      <c r="AY606" t="inlineStr">
        <is>
          <t>2265387610002656</t>
        </is>
      </c>
      <c r="AZ606" t="inlineStr">
        <is>
          <t>BOOK</t>
        </is>
      </c>
      <c r="BC606" t="inlineStr">
        <is>
          <t>32285003438321</t>
        </is>
      </c>
      <c r="BD606" t="inlineStr">
        <is>
          <t>893521130</t>
        </is>
      </c>
    </row>
    <row r="607">
      <c r="A607" t="inlineStr">
        <is>
          <t>No</t>
        </is>
      </c>
      <c r="B607" t="inlineStr">
        <is>
          <t>QD251 .B45</t>
        </is>
      </c>
      <c r="C607" t="inlineStr">
        <is>
          <t>0                      QD 0251000B  45</t>
        </is>
      </c>
      <c r="D607"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07" t="inlineStr">
        <is>
          <t>V.1 PT.5</t>
        </is>
      </c>
      <c r="F607" t="inlineStr">
        <is>
          <t>Yes</t>
        </is>
      </c>
      <c r="G607" t="inlineStr">
        <is>
          <t>1</t>
        </is>
      </c>
      <c r="H607" t="inlineStr">
        <is>
          <t>No</t>
        </is>
      </c>
      <c r="I607" t="inlineStr">
        <is>
          <t>No</t>
        </is>
      </c>
      <c r="J607" t="inlineStr">
        <is>
          <t>0</t>
        </is>
      </c>
      <c r="L607" t="inlineStr">
        <is>
          <t>Berlin ; New York : Springer, 1972-</t>
        </is>
      </c>
      <c r="M607" t="inlineStr">
        <is>
          <t>1972</t>
        </is>
      </c>
      <c r="O607" t="inlineStr">
        <is>
          <t>ger</t>
        </is>
      </c>
      <c r="P607" t="inlineStr">
        <is>
          <t xml:space="preserve">gw </t>
        </is>
      </c>
      <c r="R607" t="inlineStr">
        <is>
          <t xml:space="preserve">QD </t>
        </is>
      </c>
      <c r="S607" t="n">
        <v>1</v>
      </c>
      <c r="T607" t="n">
        <v>17</v>
      </c>
      <c r="U607" t="inlineStr">
        <is>
          <t>1998-07-28</t>
        </is>
      </c>
      <c r="V607" t="inlineStr">
        <is>
          <t>1998-07-28</t>
        </is>
      </c>
      <c r="W607" t="inlineStr">
        <is>
          <t>1998-07-28</t>
        </is>
      </c>
      <c r="X607" t="inlineStr">
        <is>
          <t>1998-07-28</t>
        </is>
      </c>
      <c r="Y607" t="n">
        <v>135</v>
      </c>
      <c r="Z607" t="n">
        <v>109</v>
      </c>
      <c r="AA607" t="n">
        <v>111</v>
      </c>
      <c r="AB607" t="n">
        <v>1</v>
      </c>
      <c r="AC607" t="n">
        <v>1</v>
      </c>
      <c r="AD607" t="n">
        <v>4</v>
      </c>
      <c r="AE607" t="n">
        <v>4</v>
      </c>
      <c r="AF607" t="n">
        <v>0</v>
      </c>
      <c r="AG607" t="n">
        <v>0</v>
      </c>
      <c r="AH607" t="n">
        <v>1</v>
      </c>
      <c r="AI607" t="n">
        <v>1</v>
      </c>
      <c r="AJ607" t="n">
        <v>4</v>
      </c>
      <c r="AK607" t="n">
        <v>4</v>
      </c>
      <c r="AL607" t="n">
        <v>0</v>
      </c>
      <c r="AM607" t="n">
        <v>0</v>
      </c>
      <c r="AN607" t="n">
        <v>0</v>
      </c>
      <c r="AO607" t="n">
        <v>0</v>
      </c>
      <c r="AP607" t="inlineStr">
        <is>
          <t>No</t>
        </is>
      </c>
      <c r="AQ607" t="inlineStr">
        <is>
          <t>No</t>
        </is>
      </c>
      <c r="AS607">
        <f>HYPERLINK("https://creighton-primo.hosted.exlibrisgroup.com/primo-explore/search?tab=default_tab&amp;search_scope=EVERYTHING&amp;vid=01CRU&amp;lang=en_US&amp;offset=0&amp;query=any,contains,991005404129702656","Catalog Record")</f>
        <v/>
      </c>
      <c r="AT607">
        <f>HYPERLINK("http://www.worldcat.org/oclc/10777670","WorldCat Record")</f>
        <v/>
      </c>
      <c r="AU607" t="inlineStr">
        <is>
          <t>3375798039:ger</t>
        </is>
      </c>
      <c r="AV607" t="inlineStr">
        <is>
          <t>10777670</t>
        </is>
      </c>
      <c r="AW607" t="inlineStr">
        <is>
          <t>991005404129702656</t>
        </is>
      </c>
      <c r="AX607" t="inlineStr">
        <is>
          <t>991005404129702656</t>
        </is>
      </c>
      <c r="AY607" t="inlineStr">
        <is>
          <t>2265387610002656</t>
        </is>
      </c>
      <c r="AZ607" t="inlineStr">
        <is>
          <t>BOOK</t>
        </is>
      </c>
      <c r="BC607" t="inlineStr">
        <is>
          <t>32285003438354</t>
        </is>
      </c>
      <c r="BD607" t="inlineStr">
        <is>
          <t>893514670</t>
        </is>
      </c>
    </row>
    <row r="608">
      <c r="A608" t="inlineStr">
        <is>
          <t>No</t>
        </is>
      </c>
      <c r="B608" t="inlineStr">
        <is>
          <t>QD251 .B45</t>
        </is>
      </c>
      <c r="C608" t="inlineStr">
        <is>
          <t>0                      QD 0251000B  45</t>
        </is>
      </c>
      <c r="D608"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08" t="inlineStr">
        <is>
          <t>V.5 PT.2</t>
        </is>
      </c>
      <c r="F608" t="inlineStr">
        <is>
          <t>Yes</t>
        </is>
      </c>
      <c r="G608" t="inlineStr">
        <is>
          <t>1</t>
        </is>
      </c>
      <c r="H608" t="inlineStr">
        <is>
          <t>No</t>
        </is>
      </c>
      <c r="I608" t="inlineStr">
        <is>
          <t>No</t>
        </is>
      </c>
      <c r="J608" t="inlineStr">
        <is>
          <t>0</t>
        </is>
      </c>
      <c r="L608" t="inlineStr">
        <is>
          <t>Berlin ; New York : Springer, 1972-</t>
        </is>
      </c>
      <c r="M608" t="inlineStr">
        <is>
          <t>1972</t>
        </is>
      </c>
      <c r="O608" t="inlineStr">
        <is>
          <t>ger</t>
        </is>
      </c>
      <c r="P608" t="inlineStr">
        <is>
          <t xml:space="preserve">gw </t>
        </is>
      </c>
      <c r="R608" t="inlineStr">
        <is>
          <t xml:space="preserve">QD </t>
        </is>
      </c>
      <c r="S608" t="n">
        <v>1</v>
      </c>
      <c r="T608" t="n">
        <v>17</v>
      </c>
      <c r="U608" t="inlineStr">
        <is>
          <t>1998-07-28</t>
        </is>
      </c>
      <c r="V608" t="inlineStr">
        <is>
          <t>1998-07-28</t>
        </is>
      </c>
      <c r="W608" t="inlineStr">
        <is>
          <t>1998-07-28</t>
        </is>
      </c>
      <c r="X608" t="inlineStr">
        <is>
          <t>1998-07-28</t>
        </is>
      </c>
      <c r="Y608" t="n">
        <v>135</v>
      </c>
      <c r="Z608" t="n">
        <v>109</v>
      </c>
      <c r="AA608" t="n">
        <v>111</v>
      </c>
      <c r="AB608" t="n">
        <v>1</v>
      </c>
      <c r="AC608" t="n">
        <v>1</v>
      </c>
      <c r="AD608" t="n">
        <v>4</v>
      </c>
      <c r="AE608" t="n">
        <v>4</v>
      </c>
      <c r="AF608" t="n">
        <v>0</v>
      </c>
      <c r="AG608" t="n">
        <v>0</v>
      </c>
      <c r="AH608" t="n">
        <v>1</v>
      </c>
      <c r="AI608" t="n">
        <v>1</v>
      </c>
      <c r="AJ608" t="n">
        <v>4</v>
      </c>
      <c r="AK608" t="n">
        <v>4</v>
      </c>
      <c r="AL608" t="n">
        <v>0</v>
      </c>
      <c r="AM608" t="n">
        <v>0</v>
      </c>
      <c r="AN608" t="n">
        <v>0</v>
      </c>
      <c r="AO608" t="n">
        <v>0</v>
      </c>
      <c r="AP608" t="inlineStr">
        <is>
          <t>No</t>
        </is>
      </c>
      <c r="AQ608" t="inlineStr">
        <is>
          <t>No</t>
        </is>
      </c>
      <c r="AS608">
        <f>HYPERLINK("https://creighton-primo.hosted.exlibrisgroup.com/primo-explore/search?tab=default_tab&amp;search_scope=EVERYTHING&amp;vid=01CRU&amp;lang=en_US&amp;offset=0&amp;query=any,contains,991005404129702656","Catalog Record")</f>
        <v/>
      </c>
      <c r="AT608">
        <f>HYPERLINK("http://www.worldcat.org/oclc/10777670","WorldCat Record")</f>
        <v/>
      </c>
      <c r="AU608" t="inlineStr">
        <is>
          <t>3375798039:ger</t>
        </is>
      </c>
      <c r="AV608" t="inlineStr">
        <is>
          <t>10777670</t>
        </is>
      </c>
      <c r="AW608" t="inlineStr">
        <is>
          <t>991005404129702656</t>
        </is>
      </c>
      <c r="AX608" t="inlineStr">
        <is>
          <t>991005404129702656</t>
        </is>
      </c>
      <c r="AY608" t="inlineStr">
        <is>
          <t>2265387610002656</t>
        </is>
      </c>
      <c r="AZ608" t="inlineStr">
        <is>
          <t>BOOK</t>
        </is>
      </c>
      <c r="BC608" t="inlineStr">
        <is>
          <t>32285003438446</t>
        </is>
      </c>
      <c r="BD608" t="inlineStr">
        <is>
          <t>893521129</t>
        </is>
      </c>
    </row>
    <row r="609">
      <c r="A609" t="inlineStr">
        <is>
          <t>No</t>
        </is>
      </c>
      <c r="B609" t="inlineStr">
        <is>
          <t>QD251 .B45</t>
        </is>
      </c>
      <c r="C609" t="inlineStr">
        <is>
          <t>0                      QD 0251000B  45</t>
        </is>
      </c>
      <c r="D609"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09" t="inlineStr">
        <is>
          <t>V.1 PT.6</t>
        </is>
      </c>
      <c r="F609" t="inlineStr">
        <is>
          <t>Yes</t>
        </is>
      </c>
      <c r="G609" t="inlineStr">
        <is>
          <t>1</t>
        </is>
      </c>
      <c r="H609" t="inlineStr">
        <is>
          <t>No</t>
        </is>
      </c>
      <c r="I609" t="inlineStr">
        <is>
          <t>No</t>
        </is>
      </c>
      <c r="J609" t="inlineStr">
        <is>
          <t>0</t>
        </is>
      </c>
      <c r="L609" t="inlineStr">
        <is>
          <t>Berlin ; New York : Springer, 1972-</t>
        </is>
      </c>
      <c r="M609" t="inlineStr">
        <is>
          <t>1972</t>
        </is>
      </c>
      <c r="O609" t="inlineStr">
        <is>
          <t>ger</t>
        </is>
      </c>
      <c r="P609" t="inlineStr">
        <is>
          <t xml:space="preserve">gw </t>
        </is>
      </c>
      <c r="R609" t="inlineStr">
        <is>
          <t xml:space="preserve">QD </t>
        </is>
      </c>
      <c r="S609" t="n">
        <v>1</v>
      </c>
      <c r="T609" t="n">
        <v>17</v>
      </c>
      <c r="U609" t="inlineStr">
        <is>
          <t>1998-07-28</t>
        </is>
      </c>
      <c r="V609" t="inlineStr">
        <is>
          <t>1998-07-28</t>
        </is>
      </c>
      <c r="W609" t="inlineStr">
        <is>
          <t>1998-07-28</t>
        </is>
      </c>
      <c r="X609" t="inlineStr">
        <is>
          <t>1998-07-28</t>
        </is>
      </c>
      <c r="Y609" t="n">
        <v>135</v>
      </c>
      <c r="Z609" t="n">
        <v>109</v>
      </c>
      <c r="AA609" t="n">
        <v>111</v>
      </c>
      <c r="AB609" t="n">
        <v>1</v>
      </c>
      <c r="AC609" t="n">
        <v>1</v>
      </c>
      <c r="AD609" t="n">
        <v>4</v>
      </c>
      <c r="AE609" t="n">
        <v>4</v>
      </c>
      <c r="AF609" t="n">
        <v>0</v>
      </c>
      <c r="AG609" t="n">
        <v>0</v>
      </c>
      <c r="AH609" t="n">
        <v>1</v>
      </c>
      <c r="AI609" t="n">
        <v>1</v>
      </c>
      <c r="AJ609" t="n">
        <v>4</v>
      </c>
      <c r="AK609" t="n">
        <v>4</v>
      </c>
      <c r="AL609" t="n">
        <v>0</v>
      </c>
      <c r="AM609" t="n">
        <v>0</v>
      </c>
      <c r="AN609" t="n">
        <v>0</v>
      </c>
      <c r="AO609" t="n">
        <v>0</v>
      </c>
      <c r="AP609" t="inlineStr">
        <is>
          <t>No</t>
        </is>
      </c>
      <c r="AQ609" t="inlineStr">
        <is>
          <t>No</t>
        </is>
      </c>
      <c r="AS609">
        <f>HYPERLINK("https://creighton-primo.hosted.exlibrisgroup.com/primo-explore/search?tab=default_tab&amp;search_scope=EVERYTHING&amp;vid=01CRU&amp;lang=en_US&amp;offset=0&amp;query=any,contains,991005404129702656","Catalog Record")</f>
        <v/>
      </c>
      <c r="AT609">
        <f>HYPERLINK("http://www.worldcat.org/oclc/10777670","WorldCat Record")</f>
        <v/>
      </c>
      <c r="AU609" t="inlineStr">
        <is>
          <t>3375798039:ger</t>
        </is>
      </c>
      <c r="AV609" t="inlineStr">
        <is>
          <t>10777670</t>
        </is>
      </c>
      <c r="AW609" t="inlineStr">
        <is>
          <t>991005404129702656</t>
        </is>
      </c>
      <c r="AX609" t="inlineStr">
        <is>
          <t>991005404129702656</t>
        </is>
      </c>
      <c r="AY609" t="inlineStr">
        <is>
          <t>2265387610002656</t>
        </is>
      </c>
      <c r="AZ609" t="inlineStr">
        <is>
          <t>BOOK</t>
        </is>
      </c>
      <c r="BC609" t="inlineStr">
        <is>
          <t>32285003438362</t>
        </is>
      </c>
      <c r="BD609" t="inlineStr">
        <is>
          <t>893508201</t>
        </is>
      </c>
    </row>
    <row r="610">
      <c r="A610" t="inlineStr">
        <is>
          <t>No</t>
        </is>
      </c>
      <c r="B610" t="inlineStr">
        <is>
          <t>QD251 .B45</t>
        </is>
      </c>
      <c r="C610" t="inlineStr">
        <is>
          <t>0                      QD 0251000B  45</t>
        </is>
      </c>
      <c r="D610"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10" t="inlineStr">
        <is>
          <t>V.6 PT.1</t>
        </is>
      </c>
      <c r="F610" t="inlineStr">
        <is>
          <t>Yes</t>
        </is>
      </c>
      <c r="G610" t="inlineStr">
        <is>
          <t>1</t>
        </is>
      </c>
      <c r="H610" t="inlineStr">
        <is>
          <t>No</t>
        </is>
      </c>
      <c r="I610" t="inlineStr">
        <is>
          <t>No</t>
        </is>
      </c>
      <c r="J610" t="inlineStr">
        <is>
          <t>0</t>
        </is>
      </c>
      <c r="L610" t="inlineStr">
        <is>
          <t>Berlin ; New York : Springer, 1972-</t>
        </is>
      </c>
      <c r="M610" t="inlineStr">
        <is>
          <t>1972</t>
        </is>
      </c>
      <c r="O610" t="inlineStr">
        <is>
          <t>ger</t>
        </is>
      </c>
      <c r="P610" t="inlineStr">
        <is>
          <t xml:space="preserve">gw </t>
        </is>
      </c>
      <c r="R610" t="inlineStr">
        <is>
          <t xml:space="preserve">QD </t>
        </is>
      </c>
      <c r="S610" t="n">
        <v>1</v>
      </c>
      <c r="T610" t="n">
        <v>17</v>
      </c>
      <c r="U610" t="inlineStr">
        <is>
          <t>1998-07-28</t>
        </is>
      </c>
      <c r="V610" t="inlineStr">
        <is>
          <t>1998-07-28</t>
        </is>
      </c>
      <c r="W610" t="inlineStr">
        <is>
          <t>1998-07-28</t>
        </is>
      </c>
      <c r="X610" t="inlineStr">
        <is>
          <t>1998-07-28</t>
        </is>
      </c>
      <c r="Y610" t="n">
        <v>135</v>
      </c>
      <c r="Z610" t="n">
        <v>109</v>
      </c>
      <c r="AA610" t="n">
        <v>111</v>
      </c>
      <c r="AB610" t="n">
        <v>1</v>
      </c>
      <c r="AC610" t="n">
        <v>1</v>
      </c>
      <c r="AD610" t="n">
        <v>4</v>
      </c>
      <c r="AE610" t="n">
        <v>4</v>
      </c>
      <c r="AF610" t="n">
        <v>0</v>
      </c>
      <c r="AG610" t="n">
        <v>0</v>
      </c>
      <c r="AH610" t="n">
        <v>1</v>
      </c>
      <c r="AI610" t="n">
        <v>1</v>
      </c>
      <c r="AJ610" t="n">
        <v>4</v>
      </c>
      <c r="AK610" t="n">
        <v>4</v>
      </c>
      <c r="AL610" t="n">
        <v>0</v>
      </c>
      <c r="AM610" t="n">
        <v>0</v>
      </c>
      <c r="AN610" t="n">
        <v>0</v>
      </c>
      <c r="AO610" t="n">
        <v>0</v>
      </c>
      <c r="AP610" t="inlineStr">
        <is>
          <t>No</t>
        </is>
      </c>
      <c r="AQ610" t="inlineStr">
        <is>
          <t>No</t>
        </is>
      </c>
      <c r="AS610">
        <f>HYPERLINK("https://creighton-primo.hosted.exlibrisgroup.com/primo-explore/search?tab=default_tab&amp;search_scope=EVERYTHING&amp;vid=01CRU&amp;lang=en_US&amp;offset=0&amp;query=any,contains,991005404129702656","Catalog Record")</f>
        <v/>
      </c>
      <c r="AT610">
        <f>HYPERLINK("http://www.worldcat.org/oclc/10777670","WorldCat Record")</f>
        <v/>
      </c>
      <c r="AU610" t="inlineStr">
        <is>
          <t>3375798039:ger</t>
        </is>
      </c>
      <c r="AV610" t="inlineStr">
        <is>
          <t>10777670</t>
        </is>
      </c>
      <c r="AW610" t="inlineStr">
        <is>
          <t>991005404129702656</t>
        </is>
      </c>
      <c r="AX610" t="inlineStr">
        <is>
          <t>991005404129702656</t>
        </is>
      </c>
      <c r="AY610" t="inlineStr">
        <is>
          <t>2265387610002656</t>
        </is>
      </c>
      <c r="AZ610" t="inlineStr">
        <is>
          <t>BOOK</t>
        </is>
      </c>
      <c r="BC610" t="inlineStr">
        <is>
          <t>32285003438453</t>
        </is>
      </c>
      <c r="BD610" t="inlineStr">
        <is>
          <t>893533781</t>
        </is>
      </c>
    </row>
    <row r="611">
      <c r="A611" t="inlineStr">
        <is>
          <t>No</t>
        </is>
      </c>
      <c r="B611" t="inlineStr">
        <is>
          <t>QD251 .B45</t>
        </is>
      </c>
      <c r="C611" t="inlineStr">
        <is>
          <t>0                      QD 0251000B  45</t>
        </is>
      </c>
      <c r="D611"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11" t="inlineStr">
        <is>
          <t>V.4 PT.1</t>
        </is>
      </c>
      <c r="F611" t="inlineStr">
        <is>
          <t>Yes</t>
        </is>
      </c>
      <c r="G611" t="inlineStr">
        <is>
          <t>1</t>
        </is>
      </c>
      <c r="H611" t="inlineStr">
        <is>
          <t>No</t>
        </is>
      </c>
      <c r="I611" t="inlineStr">
        <is>
          <t>No</t>
        </is>
      </c>
      <c r="J611" t="inlineStr">
        <is>
          <t>0</t>
        </is>
      </c>
      <c r="L611" t="inlineStr">
        <is>
          <t>Berlin ; New York : Springer, 1972-</t>
        </is>
      </c>
      <c r="M611" t="inlineStr">
        <is>
          <t>1972</t>
        </is>
      </c>
      <c r="O611" t="inlineStr">
        <is>
          <t>ger</t>
        </is>
      </c>
      <c r="P611" t="inlineStr">
        <is>
          <t xml:space="preserve">gw </t>
        </is>
      </c>
      <c r="R611" t="inlineStr">
        <is>
          <t xml:space="preserve">QD </t>
        </is>
      </c>
      <c r="S611" t="n">
        <v>1</v>
      </c>
      <c r="T611" t="n">
        <v>17</v>
      </c>
      <c r="U611" t="inlineStr">
        <is>
          <t>1998-07-28</t>
        </is>
      </c>
      <c r="V611" t="inlineStr">
        <is>
          <t>1998-07-28</t>
        </is>
      </c>
      <c r="W611" t="inlineStr">
        <is>
          <t>1998-07-28</t>
        </is>
      </c>
      <c r="X611" t="inlineStr">
        <is>
          <t>1998-07-28</t>
        </is>
      </c>
      <c r="Y611" t="n">
        <v>135</v>
      </c>
      <c r="Z611" t="n">
        <v>109</v>
      </c>
      <c r="AA611" t="n">
        <v>111</v>
      </c>
      <c r="AB611" t="n">
        <v>1</v>
      </c>
      <c r="AC611" t="n">
        <v>1</v>
      </c>
      <c r="AD611" t="n">
        <v>4</v>
      </c>
      <c r="AE611" t="n">
        <v>4</v>
      </c>
      <c r="AF611" t="n">
        <v>0</v>
      </c>
      <c r="AG611" t="n">
        <v>0</v>
      </c>
      <c r="AH611" t="n">
        <v>1</v>
      </c>
      <c r="AI611" t="n">
        <v>1</v>
      </c>
      <c r="AJ611" t="n">
        <v>4</v>
      </c>
      <c r="AK611" t="n">
        <v>4</v>
      </c>
      <c r="AL611" t="n">
        <v>0</v>
      </c>
      <c r="AM611" t="n">
        <v>0</v>
      </c>
      <c r="AN611" t="n">
        <v>0</v>
      </c>
      <c r="AO611" t="n">
        <v>0</v>
      </c>
      <c r="AP611" t="inlineStr">
        <is>
          <t>No</t>
        </is>
      </c>
      <c r="AQ611" t="inlineStr">
        <is>
          <t>No</t>
        </is>
      </c>
      <c r="AS611">
        <f>HYPERLINK("https://creighton-primo.hosted.exlibrisgroup.com/primo-explore/search?tab=default_tab&amp;search_scope=EVERYTHING&amp;vid=01CRU&amp;lang=en_US&amp;offset=0&amp;query=any,contains,991005404129702656","Catalog Record")</f>
        <v/>
      </c>
      <c r="AT611">
        <f>HYPERLINK("http://www.worldcat.org/oclc/10777670","WorldCat Record")</f>
        <v/>
      </c>
      <c r="AU611" t="inlineStr">
        <is>
          <t>3375798039:ger</t>
        </is>
      </c>
      <c r="AV611" t="inlineStr">
        <is>
          <t>10777670</t>
        </is>
      </c>
      <c r="AW611" t="inlineStr">
        <is>
          <t>991005404129702656</t>
        </is>
      </c>
      <c r="AX611" t="inlineStr">
        <is>
          <t>991005404129702656</t>
        </is>
      </c>
      <c r="AY611" t="inlineStr">
        <is>
          <t>2265387610002656</t>
        </is>
      </c>
      <c r="AZ611" t="inlineStr">
        <is>
          <t>BOOK</t>
        </is>
      </c>
      <c r="BC611" t="inlineStr">
        <is>
          <t>32285003438420</t>
        </is>
      </c>
      <c r="BD611" t="inlineStr">
        <is>
          <t>893527566</t>
        </is>
      </c>
    </row>
    <row r="612">
      <c r="A612" t="inlineStr">
        <is>
          <t>No</t>
        </is>
      </c>
      <c r="B612" t="inlineStr">
        <is>
          <t>QD251 .B45</t>
        </is>
      </c>
      <c r="C612" t="inlineStr">
        <is>
          <t>0                      QD 0251000B  45</t>
        </is>
      </c>
      <c r="D612"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12" t="inlineStr">
        <is>
          <t>V.1 PT.1</t>
        </is>
      </c>
      <c r="F612" t="inlineStr">
        <is>
          <t>Yes</t>
        </is>
      </c>
      <c r="G612" t="inlineStr">
        <is>
          <t>1</t>
        </is>
      </c>
      <c r="H612" t="inlineStr">
        <is>
          <t>No</t>
        </is>
      </c>
      <c r="I612" t="inlineStr">
        <is>
          <t>No</t>
        </is>
      </c>
      <c r="J612" t="inlineStr">
        <is>
          <t>0</t>
        </is>
      </c>
      <c r="L612" t="inlineStr">
        <is>
          <t>Berlin ; New York : Springer, 1972-</t>
        </is>
      </c>
      <c r="M612" t="inlineStr">
        <is>
          <t>1972</t>
        </is>
      </c>
      <c r="O612" t="inlineStr">
        <is>
          <t>ger</t>
        </is>
      </c>
      <c r="P612" t="inlineStr">
        <is>
          <t xml:space="preserve">gw </t>
        </is>
      </c>
      <c r="R612" t="inlineStr">
        <is>
          <t xml:space="preserve">QD </t>
        </is>
      </c>
      <c r="S612" t="n">
        <v>1</v>
      </c>
      <c r="T612" t="n">
        <v>17</v>
      </c>
      <c r="U612" t="inlineStr">
        <is>
          <t>1998-07-28</t>
        </is>
      </c>
      <c r="V612" t="inlineStr">
        <is>
          <t>1998-07-28</t>
        </is>
      </c>
      <c r="W612" t="inlineStr">
        <is>
          <t>1998-07-28</t>
        </is>
      </c>
      <c r="X612" t="inlineStr">
        <is>
          <t>1998-07-28</t>
        </is>
      </c>
      <c r="Y612" t="n">
        <v>135</v>
      </c>
      <c r="Z612" t="n">
        <v>109</v>
      </c>
      <c r="AA612" t="n">
        <v>111</v>
      </c>
      <c r="AB612" t="n">
        <v>1</v>
      </c>
      <c r="AC612" t="n">
        <v>1</v>
      </c>
      <c r="AD612" t="n">
        <v>4</v>
      </c>
      <c r="AE612" t="n">
        <v>4</v>
      </c>
      <c r="AF612" t="n">
        <v>0</v>
      </c>
      <c r="AG612" t="n">
        <v>0</v>
      </c>
      <c r="AH612" t="n">
        <v>1</v>
      </c>
      <c r="AI612" t="n">
        <v>1</v>
      </c>
      <c r="AJ612" t="n">
        <v>4</v>
      </c>
      <c r="AK612" t="n">
        <v>4</v>
      </c>
      <c r="AL612" t="n">
        <v>0</v>
      </c>
      <c r="AM612" t="n">
        <v>0</v>
      </c>
      <c r="AN612" t="n">
        <v>0</v>
      </c>
      <c r="AO612" t="n">
        <v>0</v>
      </c>
      <c r="AP612" t="inlineStr">
        <is>
          <t>No</t>
        </is>
      </c>
      <c r="AQ612" t="inlineStr">
        <is>
          <t>No</t>
        </is>
      </c>
      <c r="AS612">
        <f>HYPERLINK("https://creighton-primo.hosted.exlibrisgroup.com/primo-explore/search?tab=default_tab&amp;search_scope=EVERYTHING&amp;vid=01CRU&amp;lang=en_US&amp;offset=0&amp;query=any,contains,991005404129702656","Catalog Record")</f>
        <v/>
      </c>
      <c r="AT612">
        <f>HYPERLINK("http://www.worldcat.org/oclc/10777670","WorldCat Record")</f>
        <v/>
      </c>
      <c r="AU612" t="inlineStr">
        <is>
          <t>3375798039:ger</t>
        </is>
      </c>
      <c r="AV612" t="inlineStr">
        <is>
          <t>10777670</t>
        </is>
      </c>
      <c r="AW612" t="inlineStr">
        <is>
          <t>991005404129702656</t>
        </is>
      </c>
      <c r="AX612" t="inlineStr">
        <is>
          <t>991005404129702656</t>
        </is>
      </c>
      <c r="AY612" t="inlineStr">
        <is>
          <t>2265387610002656</t>
        </is>
      </c>
      <c r="AZ612" t="inlineStr">
        <is>
          <t>BOOK</t>
        </is>
      </c>
      <c r="BC612" t="inlineStr">
        <is>
          <t>32285003438313</t>
        </is>
      </c>
      <c r="BD612" t="inlineStr">
        <is>
          <t>893521131</t>
        </is>
      </c>
    </row>
    <row r="613">
      <c r="A613" t="inlineStr">
        <is>
          <t>No</t>
        </is>
      </c>
      <c r="B613" t="inlineStr">
        <is>
          <t>QD251 .B45</t>
        </is>
      </c>
      <c r="C613" t="inlineStr">
        <is>
          <t>0                      QD 0251000B  45</t>
        </is>
      </c>
      <c r="D613"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13" t="inlineStr">
        <is>
          <t>V.6 PT.2</t>
        </is>
      </c>
      <c r="F613" t="inlineStr">
        <is>
          <t>Yes</t>
        </is>
      </c>
      <c r="G613" t="inlineStr">
        <is>
          <t>1</t>
        </is>
      </c>
      <c r="H613" t="inlineStr">
        <is>
          <t>No</t>
        </is>
      </c>
      <c r="I613" t="inlineStr">
        <is>
          <t>No</t>
        </is>
      </c>
      <c r="J613" t="inlineStr">
        <is>
          <t>0</t>
        </is>
      </c>
      <c r="L613" t="inlineStr">
        <is>
          <t>Berlin ; New York : Springer, 1972-</t>
        </is>
      </c>
      <c r="M613" t="inlineStr">
        <is>
          <t>1972</t>
        </is>
      </c>
      <c r="O613" t="inlineStr">
        <is>
          <t>ger</t>
        </is>
      </c>
      <c r="P613" t="inlineStr">
        <is>
          <t xml:space="preserve">gw </t>
        </is>
      </c>
      <c r="R613" t="inlineStr">
        <is>
          <t xml:space="preserve">QD </t>
        </is>
      </c>
      <c r="S613" t="n">
        <v>1</v>
      </c>
      <c r="T613" t="n">
        <v>17</v>
      </c>
      <c r="U613" t="inlineStr">
        <is>
          <t>1998-07-28</t>
        </is>
      </c>
      <c r="V613" t="inlineStr">
        <is>
          <t>1998-07-28</t>
        </is>
      </c>
      <c r="W613" t="inlineStr">
        <is>
          <t>1998-07-28</t>
        </is>
      </c>
      <c r="X613" t="inlineStr">
        <is>
          <t>1998-07-28</t>
        </is>
      </c>
      <c r="Y613" t="n">
        <v>135</v>
      </c>
      <c r="Z613" t="n">
        <v>109</v>
      </c>
      <c r="AA613" t="n">
        <v>111</v>
      </c>
      <c r="AB613" t="n">
        <v>1</v>
      </c>
      <c r="AC613" t="n">
        <v>1</v>
      </c>
      <c r="AD613" t="n">
        <v>4</v>
      </c>
      <c r="AE613" t="n">
        <v>4</v>
      </c>
      <c r="AF613" t="n">
        <v>0</v>
      </c>
      <c r="AG613" t="n">
        <v>0</v>
      </c>
      <c r="AH613" t="n">
        <v>1</v>
      </c>
      <c r="AI613" t="n">
        <v>1</v>
      </c>
      <c r="AJ613" t="n">
        <v>4</v>
      </c>
      <c r="AK613" t="n">
        <v>4</v>
      </c>
      <c r="AL613" t="n">
        <v>0</v>
      </c>
      <c r="AM613" t="n">
        <v>0</v>
      </c>
      <c r="AN613" t="n">
        <v>0</v>
      </c>
      <c r="AO613" t="n">
        <v>0</v>
      </c>
      <c r="AP613" t="inlineStr">
        <is>
          <t>No</t>
        </is>
      </c>
      <c r="AQ613" t="inlineStr">
        <is>
          <t>No</t>
        </is>
      </c>
      <c r="AS613">
        <f>HYPERLINK("https://creighton-primo.hosted.exlibrisgroup.com/primo-explore/search?tab=default_tab&amp;search_scope=EVERYTHING&amp;vid=01CRU&amp;lang=en_US&amp;offset=0&amp;query=any,contains,991005404129702656","Catalog Record")</f>
        <v/>
      </c>
      <c r="AT613">
        <f>HYPERLINK("http://www.worldcat.org/oclc/10777670","WorldCat Record")</f>
        <v/>
      </c>
      <c r="AU613" t="inlineStr">
        <is>
          <t>3375798039:ger</t>
        </is>
      </c>
      <c r="AV613" t="inlineStr">
        <is>
          <t>10777670</t>
        </is>
      </c>
      <c r="AW613" t="inlineStr">
        <is>
          <t>991005404129702656</t>
        </is>
      </c>
      <c r="AX613" t="inlineStr">
        <is>
          <t>991005404129702656</t>
        </is>
      </c>
      <c r="AY613" t="inlineStr">
        <is>
          <t>2265387610002656</t>
        </is>
      </c>
      <c r="AZ613" t="inlineStr">
        <is>
          <t>BOOK</t>
        </is>
      </c>
      <c r="BC613" t="inlineStr">
        <is>
          <t>32285003438461</t>
        </is>
      </c>
      <c r="BD613" t="inlineStr">
        <is>
          <t>893521128</t>
        </is>
      </c>
    </row>
    <row r="614">
      <c r="A614" t="inlineStr">
        <is>
          <t>No</t>
        </is>
      </c>
      <c r="B614" t="inlineStr">
        <is>
          <t>QD251 .B45</t>
        </is>
      </c>
      <c r="C614" t="inlineStr">
        <is>
          <t>0                      QD 0251000B  45</t>
        </is>
      </c>
      <c r="D614"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14" t="inlineStr">
        <is>
          <t>V.3 PT.1</t>
        </is>
      </c>
      <c r="F614" t="inlineStr">
        <is>
          <t>Yes</t>
        </is>
      </c>
      <c r="G614" t="inlineStr">
        <is>
          <t>1</t>
        </is>
      </c>
      <c r="H614" t="inlineStr">
        <is>
          <t>No</t>
        </is>
      </c>
      <c r="I614" t="inlineStr">
        <is>
          <t>No</t>
        </is>
      </c>
      <c r="J614" t="inlineStr">
        <is>
          <t>0</t>
        </is>
      </c>
      <c r="L614" t="inlineStr">
        <is>
          <t>Berlin ; New York : Springer, 1972-</t>
        </is>
      </c>
      <c r="M614" t="inlineStr">
        <is>
          <t>1972</t>
        </is>
      </c>
      <c r="O614" t="inlineStr">
        <is>
          <t>ger</t>
        </is>
      </c>
      <c r="P614" t="inlineStr">
        <is>
          <t xml:space="preserve">gw </t>
        </is>
      </c>
      <c r="R614" t="inlineStr">
        <is>
          <t xml:space="preserve">QD </t>
        </is>
      </c>
      <c r="S614" t="n">
        <v>1</v>
      </c>
      <c r="T614" t="n">
        <v>17</v>
      </c>
      <c r="U614" t="inlineStr">
        <is>
          <t>1998-07-28</t>
        </is>
      </c>
      <c r="V614" t="inlineStr">
        <is>
          <t>1998-07-28</t>
        </is>
      </c>
      <c r="W614" t="inlineStr">
        <is>
          <t>1998-07-28</t>
        </is>
      </c>
      <c r="X614" t="inlineStr">
        <is>
          <t>1998-07-28</t>
        </is>
      </c>
      <c r="Y614" t="n">
        <v>135</v>
      </c>
      <c r="Z614" t="n">
        <v>109</v>
      </c>
      <c r="AA614" t="n">
        <v>111</v>
      </c>
      <c r="AB614" t="n">
        <v>1</v>
      </c>
      <c r="AC614" t="n">
        <v>1</v>
      </c>
      <c r="AD614" t="n">
        <v>4</v>
      </c>
      <c r="AE614" t="n">
        <v>4</v>
      </c>
      <c r="AF614" t="n">
        <v>0</v>
      </c>
      <c r="AG614" t="n">
        <v>0</v>
      </c>
      <c r="AH614" t="n">
        <v>1</v>
      </c>
      <c r="AI614" t="n">
        <v>1</v>
      </c>
      <c r="AJ614" t="n">
        <v>4</v>
      </c>
      <c r="AK614" t="n">
        <v>4</v>
      </c>
      <c r="AL614" t="n">
        <v>0</v>
      </c>
      <c r="AM614" t="n">
        <v>0</v>
      </c>
      <c r="AN614" t="n">
        <v>0</v>
      </c>
      <c r="AO614" t="n">
        <v>0</v>
      </c>
      <c r="AP614" t="inlineStr">
        <is>
          <t>No</t>
        </is>
      </c>
      <c r="AQ614" t="inlineStr">
        <is>
          <t>No</t>
        </is>
      </c>
      <c r="AS614">
        <f>HYPERLINK("https://creighton-primo.hosted.exlibrisgroup.com/primo-explore/search?tab=default_tab&amp;search_scope=EVERYTHING&amp;vid=01CRU&amp;lang=en_US&amp;offset=0&amp;query=any,contains,991005404129702656","Catalog Record")</f>
        <v/>
      </c>
      <c r="AT614">
        <f>HYPERLINK("http://www.worldcat.org/oclc/10777670","WorldCat Record")</f>
        <v/>
      </c>
      <c r="AU614" t="inlineStr">
        <is>
          <t>3375798039:ger</t>
        </is>
      </c>
      <c r="AV614" t="inlineStr">
        <is>
          <t>10777670</t>
        </is>
      </c>
      <c r="AW614" t="inlineStr">
        <is>
          <t>991005404129702656</t>
        </is>
      </c>
      <c r="AX614" t="inlineStr">
        <is>
          <t>991005404129702656</t>
        </is>
      </c>
      <c r="AY614" t="inlineStr">
        <is>
          <t>2265387610002656</t>
        </is>
      </c>
      <c r="AZ614" t="inlineStr">
        <is>
          <t>BOOK</t>
        </is>
      </c>
      <c r="BC614" t="inlineStr">
        <is>
          <t>32285003438404</t>
        </is>
      </c>
      <c r="BD614" t="inlineStr">
        <is>
          <t>893514669</t>
        </is>
      </c>
    </row>
    <row r="615">
      <c r="A615" t="inlineStr">
        <is>
          <t>No</t>
        </is>
      </c>
      <c r="B615" t="inlineStr">
        <is>
          <t>QD251 .B45</t>
        </is>
      </c>
      <c r="C615" t="inlineStr">
        <is>
          <t>0                      QD 0251000B  45</t>
        </is>
      </c>
      <c r="D615"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15" t="inlineStr">
        <is>
          <t>V.6 PT.3</t>
        </is>
      </c>
      <c r="F615" t="inlineStr">
        <is>
          <t>Yes</t>
        </is>
      </c>
      <c r="G615" t="inlineStr">
        <is>
          <t>1</t>
        </is>
      </c>
      <c r="H615" t="inlineStr">
        <is>
          <t>No</t>
        </is>
      </c>
      <c r="I615" t="inlineStr">
        <is>
          <t>No</t>
        </is>
      </c>
      <c r="J615" t="inlineStr">
        <is>
          <t>0</t>
        </is>
      </c>
      <c r="L615" t="inlineStr">
        <is>
          <t>Berlin ; New York : Springer, 1972-</t>
        </is>
      </c>
      <c r="M615" t="inlineStr">
        <is>
          <t>1972</t>
        </is>
      </c>
      <c r="O615" t="inlineStr">
        <is>
          <t>ger</t>
        </is>
      </c>
      <c r="P615" t="inlineStr">
        <is>
          <t xml:space="preserve">gw </t>
        </is>
      </c>
      <c r="R615" t="inlineStr">
        <is>
          <t xml:space="preserve">QD </t>
        </is>
      </c>
      <c r="S615" t="n">
        <v>1</v>
      </c>
      <c r="T615" t="n">
        <v>17</v>
      </c>
      <c r="U615" t="inlineStr">
        <is>
          <t>1998-07-28</t>
        </is>
      </c>
      <c r="V615" t="inlineStr">
        <is>
          <t>1998-07-28</t>
        </is>
      </c>
      <c r="W615" t="inlineStr">
        <is>
          <t>1998-07-28</t>
        </is>
      </c>
      <c r="X615" t="inlineStr">
        <is>
          <t>1998-07-28</t>
        </is>
      </c>
      <c r="Y615" t="n">
        <v>135</v>
      </c>
      <c r="Z615" t="n">
        <v>109</v>
      </c>
      <c r="AA615" t="n">
        <v>111</v>
      </c>
      <c r="AB615" t="n">
        <v>1</v>
      </c>
      <c r="AC615" t="n">
        <v>1</v>
      </c>
      <c r="AD615" t="n">
        <v>4</v>
      </c>
      <c r="AE615" t="n">
        <v>4</v>
      </c>
      <c r="AF615" t="n">
        <v>0</v>
      </c>
      <c r="AG615" t="n">
        <v>0</v>
      </c>
      <c r="AH615" t="n">
        <v>1</v>
      </c>
      <c r="AI615" t="n">
        <v>1</v>
      </c>
      <c r="AJ615" t="n">
        <v>4</v>
      </c>
      <c r="AK615" t="n">
        <v>4</v>
      </c>
      <c r="AL615" t="n">
        <v>0</v>
      </c>
      <c r="AM615" t="n">
        <v>0</v>
      </c>
      <c r="AN615" t="n">
        <v>0</v>
      </c>
      <c r="AO615" t="n">
        <v>0</v>
      </c>
      <c r="AP615" t="inlineStr">
        <is>
          <t>No</t>
        </is>
      </c>
      <c r="AQ615" t="inlineStr">
        <is>
          <t>No</t>
        </is>
      </c>
      <c r="AS615">
        <f>HYPERLINK("https://creighton-primo.hosted.exlibrisgroup.com/primo-explore/search?tab=default_tab&amp;search_scope=EVERYTHING&amp;vid=01CRU&amp;lang=en_US&amp;offset=0&amp;query=any,contains,991005404129702656","Catalog Record")</f>
        <v/>
      </c>
      <c r="AT615">
        <f>HYPERLINK("http://www.worldcat.org/oclc/10777670","WorldCat Record")</f>
        <v/>
      </c>
      <c r="AU615" t="inlineStr">
        <is>
          <t>3375798039:ger</t>
        </is>
      </c>
      <c r="AV615" t="inlineStr">
        <is>
          <t>10777670</t>
        </is>
      </c>
      <c r="AW615" t="inlineStr">
        <is>
          <t>991005404129702656</t>
        </is>
      </c>
      <c r="AX615" t="inlineStr">
        <is>
          <t>991005404129702656</t>
        </is>
      </c>
      <c r="AY615" t="inlineStr">
        <is>
          <t>2265387610002656</t>
        </is>
      </c>
      <c r="AZ615" t="inlineStr">
        <is>
          <t>BOOK</t>
        </is>
      </c>
      <c r="BC615" t="inlineStr">
        <is>
          <t>32285003438479</t>
        </is>
      </c>
      <c r="BD615" t="inlineStr">
        <is>
          <t>893527564</t>
        </is>
      </c>
    </row>
    <row r="616">
      <c r="A616" t="inlineStr">
        <is>
          <t>No</t>
        </is>
      </c>
      <c r="B616" t="inlineStr">
        <is>
          <t>QD251 .B45</t>
        </is>
      </c>
      <c r="C616" t="inlineStr">
        <is>
          <t>0                      QD 0251000B  45</t>
        </is>
      </c>
      <c r="D616"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16" t="inlineStr">
        <is>
          <t>V.2 PT.3</t>
        </is>
      </c>
      <c r="F616" t="inlineStr">
        <is>
          <t>Yes</t>
        </is>
      </c>
      <c r="G616" t="inlineStr">
        <is>
          <t>1</t>
        </is>
      </c>
      <c r="H616" t="inlineStr">
        <is>
          <t>No</t>
        </is>
      </c>
      <c r="I616" t="inlineStr">
        <is>
          <t>No</t>
        </is>
      </c>
      <c r="J616" t="inlineStr">
        <is>
          <t>0</t>
        </is>
      </c>
      <c r="L616" t="inlineStr">
        <is>
          <t>Berlin ; New York : Springer, 1972-</t>
        </is>
      </c>
      <c r="M616" t="inlineStr">
        <is>
          <t>1972</t>
        </is>
      </c>
      <c r="O616" t="inlineStr">
        <is>
          <t>ger</t>
        </is>
      </c>
      <c r="P616" t="inlineStr">
        <is>
          <t xml:space="preserve">gw </t>
        </is>
      </c>
      <c r="R616" t="inlineStr">
        <is>
          <t xml:space="preserve">QD </t>
        </is>
      </c>
      <c r="S616" t="n">
        <v>1</v>
      </c>
      <c r="T616" t="n">
        <v>17</v>
      </c>
      <c r="U616" t="inlineStr">
        <is>
          <t>1998-07-28</t>
        </is>
      </c>
      <c r="V616" t="inlineStr">
        <is>
          <t>1998-07-28</t>
        </is>
      </c>
      <c r="W616" t="inlineStr">
        <is>
          <t>1998-07-28</t>
        </is>
      </c>
      <c r="X616" t="inlineStr">
        <is>
          <t>1998-07-28</t>
        </is>
      </c>
      <c r="Y616" t="n">
        <v>135</v>
      </c>
      <c r="Z616" t="n">
        <v>109</v>
      </c>
      <c r="AA616" t="n">
        <v>111</v>
      </c>
      <c r="AB616" t="n">
        <v>1</v>
      </c>
      <c r="AC616" t="n">
        <v>1</v>
      </c>
      <c r="AD616" t="n">
        <v>4</v>
      </c>
      <c r="AE616" t="n">
        <v>4</v>
      </c>
      <c r="AF616" t="n">
        <v>0</v>
      </c>
      <c r="AG616" t="n">
        <v>0</v>
      </c>
      <c r="AH616" t="n">
        <v>1</v>
      </c>
      <c r="AI616" t="n">
        <v>1</v>
      </c>
      <c r="AJ616" t="n">
        <v>4</v>
      </c>
      <c r="AK616" t="n">
        <v>4</v>
      </c>
      <c r="AL616" t="n">
        <v>0</v>
      </c>
      <c r="AM616" t="n">
        <v>0</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HYPERLINK("https://creighton-primo.hosted.exlibrisgroup.com/primo-explore/search?tab=default_tab&amp;search_scope=EVERYTHING&amp;vid=01CRU&amp;lang=en_US&amp;offset=0&amp;query=any,contains,991005404129702656","Catalog Record")</f>
        <v/>
      </c>
      <c r="AT616">
        <f>HYPERLINK("http://www.worldcat.org/oclc/10777670","WorldCat Record")</f>
        <v/>
      </c>
      <c r="AU616" t="inlineStr">
        <is>
          <t>3375798039:ger</t>
        </is>
      </c>
      <c r="AV616" t="inlineStr">
        <is>
          <t>10777670</t>
        </is>
      </c>
      <c r="AW616" t="inlineStr">
        <is>
          <t>991005404129702656</t>
        </is>
      </c>
      <c r="AX616" t="inlineStr">
        <is>
          <t>991005404129702656</t>
        </is>
      </c>
      <c r="AY616" t="inlineStr">
        <is>
          <t>2265387610002656</t>
        </is>
      </c>
      <c r="AZ616" t="inlineStr">
        <is>
          <t>BOOK</t>
        </is>
      </c>
      <c r="BC616" t="inlineStr">
        <is>
          <t>32285003438396</t>
        </is>
      </c>
      <c r="BD616" t="inlineStr">
        <is>
          <t>893533782</t>
        </is>
      </c>
    </row>
    <row r="617">
      <c r="A617" t="inlineStr">
        <is>
          <t>No</t>
        </is>
      </c>
      <c r="B617" t="inlineStr">
        <is>
          <t>QD251 .B45</t>
        </is>
      </c>
      <c r="C617" t="inlineStr">
        <is>
          <t>0                      QD 0251000B  45</t>
        </is>
      </c>
      <c r="D617"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17" t="inlineStr">
        <is>
          <t>V.1 PT.3</t>
        </is>
      </c>
      <c r="F617" t="inlineStr">
        <is>
          <t>Yes</t>
        </is>
      </c>
      <c r="G617" t="inlineStr">
        <is>
          <t>1</t>
        </is>
      </c>
      <c r="H617" t="inlineStr">
        <is>
          <t>No</t>
        </is>
      </c>
      <c r="I617" t="inlineStr">
        <is>
          <t>No</t>
        </is>
      </c>
      <c r="J617" t="inlineStr">
        <is>
          <t>0</t>
        </is>
      </c>
      <c r="L617" t="inlineStr">
        <is>
          <t>Berlin ; New York : Springer, 1972-</t>
        </is>
      </c>
      <c r="M617" t="inlineStr">
        <is>
          <t>1972</t>
        </is>
      </c>
      <c r="O617" t="inlineStr">
        <is>
          <t>ger</t>
        </is>
      </c>
      <c r="P617" t="inlineStr">
        <is>
          <t xml:space="preserve">gw </t>
        </is>
      </c>
      <c r="R617" t="inlineStr">
        <is>
          <t xml:space="preserve">QD </t>
        </is>
      </c>
      <c r="S617" t="n">
        <v>1</v>
      </c>
      <c r="T617" t="n">
        <v>17</v>
      </c>
      <c r="U617" t="inlineStr">
        <is>
          <t>1998-07-28</t>
        </is>
      </c>
      <c r="V617" t="inlineStr">
        <is>
          <t>1998-07-28</t>
        </is>
      </c>
      <c r="W617" t="inlineStr">
        <is>
          <t>1998-07-28</t>
        </is>
      </c>
      <c r="X617" t="inlineStr">
        <is>
          <t>1998-07-28</t>
        </is>
      </c>
      <c r="Y617" t="n">
        <v>135</v>
      </c>
      <c r="Z617" t="n">
        <v>109</v>
      </c>
      <c r="AA617" t="n">
        <v>111</v>
      </c>
      <c r="AB617" t="n">
        <v>1</v>
      </c>
      <c r="AC617" t="n">
        <v>1</v>
      </c>
      <c r="AD617" t="n">
        <v>4</v>
      </c>
      <c r="AE617" t="n">
        <v>4</v>
      </c>
      <c r="AF617" t="n">
        <v>0</v>
      </c>
      <c r="AG617" t="n">
        <v>0</v>
      </c>
      <c r="AH617" t="n">
        <v>1</v>
      </c>
      <c r="AI617" t="n">
        <v>1</v>
      </c>
      <c r="AJ617" t="n">
        <v>4</v>
      </c>
      <c r="AK617" t="n">
        <v>4</v>
      </c>
      <c r="AL617" t="n">
        <v>0</v>
      </c>
      <c r="AM617" t="n">
        <v>0</v>
      </c>
      <c r="AN617" t="n">
        <v>0</v>
      </c>
      <c r="AO617" t="n">
        <v>0</v>
      </c>
      <c r="AP617" t="inlineStr">
        <is>
          <t>No</t>
        </is>
      </c>
      <c r="AQ617" t="inlineStr">
        <is>
          <t>No</t>
        </is>
      </c>
      <c r="AS617">
        <f>HYPERLINK("https://creighton-primo.hosted.exlibrisgroup.com/primo-explore/search?tab=default_tab&amp;search_scope=EVERYTHING&amp;vid=01CRU&amp;lang=en_US&amp;offset=0&amp;query=any,contains,991005404129702656","Catalog Record")</f>
        <v/>
      </c>
      <c r="AT617">
        <f>HYPERLINK("http://www.worldcat.org/oclc/10777670","WorldCat Record")</f>
        <v/>
      </c>
      <c r="AU617" t="inlineStr">
        <is>
          <t>3375798039:ger</t>
        </is>
      </c>
      <c r="AV617" t="inlineStr">
        <is>
          <t>10777670</t>
        </is>
      </c>
      <c r="AW617" t="inlineStr">
        <is>
          <t>991005404129702656</t>
        </is>
      </c>
      <c r="AX617" t="inlineStr">
        <is>
          <t>991005404129702656</t>
        </is>
      </c>
      <c r="AY617" t="inlineStr">
        <is>
          <t>2265387610002656</t>
        </is>
      </c>
      <c r="AZ617" t="inlineStr">
        <is>
          <t>BOOK</t>
        </is>
      </c>
      <c r="BC617" t="inlineStr">
        <is>
          <t>32285003438339</t>
        </is>
      </c>
      <c r="BD617" t="inlineStr">
        <is>
          <t>893521132</t>
        </is>
      </c>
    </row>
    <row r="618">
      <c r="A618" t="inlineStr">
        <is>
          <t>No</t>
        </is>
      </c>
      <c r="B618" t="inlineStr">
        <is>
          <t>QD251 .B45</t>
        </is>
      </c>
      <c r="C618" t="inlineStr">
        <is>
          <t>0                      QD 0251000B  45</t>
        </is>
      </c>
      <c r="D618" t="inlineStr">
        <is>
          <t>Beilsteins Handbuch der organischen Chemie, vierte Auflage. Viertes Ergänzungswerk, die Literatur von 1950 bis 1959 umfassend / herausgegeben vom Beilstein-Institut für Literatur der Organischen Chemie ; bearbeitet von Hans-G. Boit unter Mitwirkung von Oskar Weissbach ... [et al.].</t>
        </is>
      </c>
      <c r="E618" t="inlineStr">
        <is>
          <t>V.3 PT.2</t>
        </is>
      </c>
      <c r="F618" t="inlineStr">
        <is>
          <t>Yes</t>
        </is>
      </c>
      <c r="G618" t="inlineStr">
        <is>
          <t>1</t>
        </is>
      </c>
      <c r="H618" t="inlineStr">
        <is>
          <t>No</t>
        </is>
      </c>
      <c r="I618" t="inlineStr">
        <is>
          <t>No</t>
        </is>
      </c>
      <c r="J618" t="inlineStr">
        <is>
          <t>0</t>
        </is>
      </c>
      <c r="L618" t="inlineStr">
        <is>
          <t>Berlin ; New York : Springer, 1972-</t>
        </is>
      </c>
      <c r="M618" t="inlineStr">
        <is>
          <t>1972</t>
        </is>
      </c>
      <c r="O618" t="inlineStr">
        <is>
          <t>ger</t>
        </is>
      </c>
      <c r="P618" t="inlineStr">
        <is>
          <t xml:space="preserve">gw </t>
        </is>
      </c>
      <c r="R618" t="inlineStr">
        <is>
          <t xml:space="preserve">QD </t>
        </is>
      </c>
      <c r="S618" t="n">
        <v>1</v>
      </c>
      <c r="T618" t="n">
        <v>17</v>
      </c>
      <c r="U618" t="inlineStr">
        <is>
          <t>1998-07-28</t>
        </is>
      </c>
      <c r="V618" t="inlineStr">
        <is>
          <t>1998-07-28</t>
        </is>
      </c>
      <c r="W618" t="inlineStr">
        <is>
          <t>1998-07-28</t>
        </is>
      </c>
      <c r="X618" t="inlineStr">
        <is>
          <t>1998-07-28</t>
        </is>
      </c>
      <c r="Y618" t="n">
        <v>135</v>
      </c>
      <c r="Z618" t="n">
        <v>109</v>
      </c>
      <c r="AA618" t="n">
        <v>111</v>
      </c>
      <c r="AB618" t="n">
        <v>1</v>
      </c>
      <c r="AC618" t="n">
        <v>1</v>
      </c>
      <c r="AD618" t="n">
        <v>4</v>
      </c>
      <c r="AE618" t="n">
        <v>4</v>
      </c>
      <c r="AF618" t="n">
        <v>0</v>
      </c>
      <c r="AG618" t="n">
        <v>0</v>
      </c>
      <c r="AH618" t="n">
        <v>1</v>
      </c>
      <c r="AI618" t="n">
        <v>1</v>
      </c>
      <c r="AJ618" t="n">
        <v>4</v>
      </c>
      <c r="AK618" t="n">
        <v>4</v>
      </c>
      <c r="AL618" t="n">
        <v>0</v>
      </c>
      <c r="AM618" t="n">
        <v>0</v>
      </c>
      <c r="AN618" t="n">
        <v>0</v>
      </c>
      <c r="AO618" t="n">
        <v>0</v>
      </c>
      <c r="AP618" t="inlineStr">
        <is>
          <t>No</t>
        </is>
      </c>
      <c r="AQ618" t="inlineStr">
        <is>
          <t>No</t>
        </is>
      </c>
      <c r="AS618">
        <f>HYPERLINK("https://creighton-primo.hosted.exlibrisgroup.com/primo-explore/search?tab=default_tab&amp;search_scope=EVERYTHING&amp;vid=01CRU&amp;lang=en_US&amp;offset=0&amp;query=any,contains,991005404129702656","Catalog Record")</f>
        <v/>
      </c>
      <c r="AT618">
        <f>HYPERLINK("http://www.worldcat.org/oclc/10777670","WorldCat Record")</f>
        <v/>
      </c>
      <c r="AU618" t="inlineStr">
        <is>
          <t>3375798039:ger</t>
        </is>
      </c>
      <c r="AV618" t="inlineStr">
        <is>
          <t>10777670</t>
        </is>
      </c>
      <c r="AW618" t="inlineStr">
        <is>
          <t>991005404129702656</t>
        </is>
      </c>
      <c r="AX618" t="inlineStr">
        <is>
          <t>991005404129702656</t>
        </is>
      </c>
      <c r="AY618" t="inlineStr">
        <is>
          <t>2265387610002656</t>
        </is>
      </c>
      <c r="AZ618" t="inlineStr">
        <is>
          <t>BOOK</t>
        </is>
      </c>
      <c r="BC618" t="inlineStr">
        <is>
          <t>32285003438412</t>
        </is>
      </c>
      <c r="BD618" t="inlineStr">
        <is>
          <t>893533778</t>
        </is>
      </c>
    </row>
    <row r="619">
      <c r="A619" t="inlineStr">
        <is>
          <t>No</t>
        </is>
      </c>
      <c r="B619" t="inlineStr">
        <is>
          <t>QD251 .E35</t>
        </is>
      </c>
      <c r="C619" t="inlineStr">
        <is>
          <t>0                      QD 0251000E  35</t>
        </is>
      </c>
      <c r="D619" t="inlineStr">
        <is>
          <t>The reactions of pure hydrocarbons [by] Gustav Egloff ...</t>
        </is>
      </c>
      <c r="F619" t="inlineStr">
        <is>
          <t>No</t>
        </is>
      </c>
      <c r="G619" t="inlineStr">
        <is>
          <t>1</t>
        </is>
      </c>
      <c r="H619" t="inlineStr">
        <is>
          <t>No</t>
        </is>
      </c>
      <c r="I619" t="inlineStr">
        <is>
          <t>No</t>
        </is>
      </c>
      <c r="J619" t="inlineStr">
        <is>
          <t>0</t>
        </is>
      </c>
      <c r="K619" t="inlineStr">
        <is>
          <t>Egloff, Gustav, 1886-1955.</t>
        </is>
      </c>
      <c r="L619" t="inlineStr">
        <is>
          <t>New York, Reinhold Publishing Corporation, 1937.</t>
        </is>
      </c>
      <c r="M619" t="inlineStr">
        <is>
          <t>1937</t>
        </is>
      </c>
      <c r="O619" t="inlineStr">
        <is>
          <t>eng</t>
        </is>
      </c>
      <c r="P619" t="inlineStr">
        <is>
          <t>nyu</t>
        </is>
      </c>
      <c r="Q619" t="inlineStr">
        <is>
          <t>American chemical society. Monograph series. [no. 73]</t>
        </is>
      </c>
      <c r="R619" t="inlineStr">
        <is>
          <t xml:space="preserve">QD </t>
        </is>
      </c>
      <c r="S619" t="n">
        <v>2</v>
      </c>
      <c r="T619" t="n">
        <v>2</v>
      </c>
      <c r="U619" t="inlineStr">
        <is>
          <t>1998-09-21</t>
        </is>
      </c>
      <c r="V619" t="inlineStr">
        <is>
          <t>1998-09-21</t>
        </is>
      </c>
      <c r="W619" t="inlineStr">
        <is>
          <t>1997-06-10</t>
        </is>
      </c>
      <c r="X619" t="inlineStr">
        <is>
          <t>1997-06-10</t>
        </is>
      </c>
      <c r="Y619" t="n">
        <v>266</v>
      </c>
      <c r="Z619" t="n">
        <v>218</v>
      </c>
      <c r="AA619" t="n">
        <v>227</v>
      </c>
      <c r="AB619" t="n">
        <v>2</v>
      </c>
      <c r="AC619" t="n">
        <v>2</v>
      </c>
      <c r="AD619" t="n">
        <v>6</v>
      </c>
      <c r="AE619" t="n">
        <v>6</v>
      </c>
      <c r="AF619" t="n">
        <v>1</v>
      </c>
      <c r="AG619" t="n">
        <v>1</v>
      </c>
      <c r="AH619" t="n">
        <v>1</v>
      </c>
      <c r="AI619" t="n">
        <v>1</v>
      </c>
      <c r="AJ619" t="n">
        <v>3</v>
      </c>
      <c r="AK619" t="n">
        <v>3</v>
      </c>
      <c r="AL619" t="n">
        <v>1</v>
      </c>
      <c r="AM619" t="n">
        <v>1</v>
      </c>
      <c r="AN619" t="n">
        <v>0</v>
      </c>
      <c r="AO619" t="n">
        <v>0</v>
      </c>
      <c r="AP619" t="inlineStr">
        <is>
          <t>Yes</t>
        </is>
      </c>
      <c r="AQ619" t="inlineStr">
        <is>
          <t>No</t>
        </is>
      </c>
      <c r="AR619">
        <f>HYPERLINK("http://catalog.hathitrust.org/Record/001422663","HathiTrust Record")</f>
        <v/>
      </c>
      <c r="AS619">
        <f>HYPERLINK("https://creighton-primo.hosted.exlibrisgroup.com/primo-explore/search?tab=default_tab&amp;search_scope=EVERYTHING&amp;vid=01CRU&amp;lang=en_US&amp;offset=0&amp;query=any,contains,991004067419702656","Catalog Record")</f>
        <v/>
      </c>
      <c r="AT619">
        <f>HYPERLINK("http://www.worldcat.org/oclc/2288453","WorldCat Record")</f>
        <v/>
      </c>
      <c r="AU619" t="inlineStr">
        <is>
          <t>2819740:eng</t>
        </is>
      </c>
      <c r="AV619" t="inlineStr">
        <is>
          <t>2288453</t>
        </is>
      </c>
      <c r="AW619" t="inlineStr">
        <is>
          <t>991004067419702656</t>
        </is>
      </c>
      <c r="AX619" t="inlineStr">
        <is>
          <t>991004067419702656</t>
        </is>
      </c>
      <c r="AY619" t="inlineStr">
        <is>
          <t>2269332300002656</t>
        </is>
      </c>
      <c r="AZ619" t="inlineStr">
        <is>
          <t>BOOK</t>
        </is>
      </c>
      <c r="BC619" t="inlineStr">
        <is>
          <t>32285002793791</t>
        </is>
      </c>
      <c r="BD619" t="inlineStr">
        <is>
          <t>893240975</t>
        </is>
      </c>
    </row>
    <row r="620">
      <c r="A620" t="inlineStr">
        <is>
          <t>No</t>
        </is>
      </c>
      <c r="B620" t="inlineStr">
        <is>
          <t>QD251 .F47</t>
        </is>
      </c>
      <c r="C620" t="inlineStr">
        <is>
          <t>0                      QD 0251000F  47</t>
        </is>
      </c>
      <c r="D620" t="inlineStr">
        <is>
          <t>Introduction to organic chemistry by Louis F. Fieser and Mary Fieser.</t>
        </is>
      </c>
      <c r="F620" t="inlineStr">
        <is>
          <t>No</t>
        </is>
      </c>
      <c r="G620" t="inlineStr">
        <is>
          <t>1</t>
        </is>
      </c>
      <c r="H620" t="inlineStr">
        <is>
          <t>No</t>
        </is>
      </c>
      <c r="I620" t="inlineStr">
        <is>
          <t>No</t>
        </is>
      </c>
      <c r="J620" t="inlineStr">
        <is>
          <t>0</t>
        </is>
      </c>
      <c r="K620" t="inlineStr">
        <is>
          <t>Fieser, Louis F. (Louis Frederick), 1899-1977.</t>
        </is>
      </c>
      <c r="L620" t="inlineStr">
        <is>
          <t>Boston, D. C Heath [1957]</t>
        </is>
      </c>
      <c r="M620" t="inlineStr">
        <is>
          <t>1957</t>
        </is>
      </c>
      <c r="O620" t="inlineStr">
        <is>
          <t>eng</t>
        </is>
      </c>
      <c r="P620" t="inlineStr">
        <is>
          <t xml:space="preserve">xx </t>
        </is>
      </c>
      <c r="R620" t="inlineStr">
        <is>
          <t xml:space="preserve">QD </t>
        </is>
      </c>
      <c r="S620" t="n">
        <v>1</v>
      </c>
      <c r="T620" t="n">
        <v>1</v>
      </c>
      <c r="U620" t="inlineStr">
        <is>
          <t>2001-01-17</t>
        </is>
      </c>
      <c r="V620" t="inlineStr">
        <is>
          <t>2001-01-17</t>
        </is>
      </c>
      <c r="W620" t="inlineStr">
        <is>
          <t>1997-06-10</t>
        </is>
      </c>
      <c r="X620" t="inlineStr">
        <is>
          <t>1997-06-10</t>
        </is>
      </c>
      <c r="Y620" t="n">
        <v>243</v>
      </c>
      <c r="Z620" t="n">
        <v>162</v>
      </c>
      <c r="AA620" t="n">
        <v>165</v>
      </c>
      <c r="AB620" t="n">
        <v>2</v>
      </c>
      <c r="AC620" t="n">
        <v>2</v>
      </c>
      <c r="AD620" t="n">
        <v>5</v>
      </c>
      <c r="AE620" t="n">
        <v>5</v>
      </c>
      <c r="AF620" t="n">
        <v>3</v>
      </c>
      <c r="AG620" t="n">
        <v>3</v>
      </c>
      <c r="AH620" t="n">
        <v>0</v>
      </c>
      <c r="AI620" t="n">
        <v>0</v>
      </c>
      <c r="AJ620" t="n">
        <v>2</v>
      </c>
      <c r="AK620" t="n">
        <v>2</v>
      </c>
      <c r="AL620" t="n">
        <v>1</v>
      </c>
      <c r="AM620" t="n">
        <v>1</v>
      </c>
      <c r="AN620" t="n">
        <v>0</v>
      </c>
      <c r="AO620" t="n">
        <v>0</v>
      </c>
      <c r="AP620" t="inlineStr">
        <is>
          <t>No</t>
        </is>
      </c>
      <c r="AQ620" t="inlineStr">
        <is>
          <t>Yes</t>
        </is>
      </c>
      <c r="AR620">
        <f>HYPERLINK("http://catalog.hathitrust.org/Record/001113653","HathiTrust Record")</f>
        <v/>
      </c>
      <c r="AS620">
        <f>HYPERLINK("https://creighton-primo.hosted.exlibrisgroup.com/primo-explore/search?tab=default_tab&amp;search_scope=EVERYTHING&amp;vid=01CRU&amp;lang=en_US&amp;offset=0&amp;query=any,contains,991002422729702656","Catalog Record")</f>
        <v/>
      </c>
      <c r="AT620">
        <f>HYPERLINK("http://www.worldcat.org/oclc/343588","WorldCat Record")</f>
        <v/>
      </c>
      <c r="AU620" t="inlineStr">
        <is>
          <t>1862729180:eng</t>
        </is>
      </c>
      <c r="AV620" t="inlineStr">
        <is>
          <t>343588</t>
        </is>
      </c>
      <c r="AW620" t="inlineStr">
        <is>
          <t>991002422729702656</t>
        </is>
      </c>
      <c r="AX620" t="inlineStr">
        <is>
          <t>991002422729702656</t>
        </is>
      </c>
      <c r="AY620" t="inlineStr">
        <is>
          <t>2264759510002656</t>
        </is>
      </c>
      <c r="AZ620" t="inlineStr">
        <is>
          <t>BOOK</t>
        </is>
      </c>
      <c r="BC620" t="inlineStr">
        <is>
          <t>32285002793817</t>
        </is>
      </c>
      <c r="BD620" t="inlineStr">
        <is>
          <t>893257277</t>
        </is>
      </c>
    </row>
    <row r="621">
      <c r="A621" t="inlineStr">
        <is>
          <t>No</t>
        </is>
      </c>
      <c r="B621" t="inlineStr">
        <is>
          <t>QD251 .K37 1950</t>
        </is>
      </c>
      <c r="C621" t="inlineStr">
        <is>
          <t>0                      QD 0251000K  37          1950</t>
        </is>
      </c>
      <c r="D621" t="inlineStr">
        <is>
          <t>Organic chemistry / original translation by A.J. Mee.</t>
        </is>
      </c>
      <c r="F621" t="inlineStr">
        <is>
          <t>No</t>
        </is>
      </c>
      <c r="G621" t="inlineStr">
        <is>
          <t>1</t>
        </is>
      </c>
      <c r="H621" t="inlineStr">
        <is>
          <t>No</t>
        </is>
      </c>
      <c r="I621" t="inlineStr">
        <is>
          <t>No</t>
        </is>
      </c>
      <c r="J621" t="inlineStr">
        <is>
          <t>0</t>
        </is>
      </c>
      <c r="K621" t="inlineStr">
        <is>
          <t>Karrer, Paul, 1889-1971.</t>
        </is>
      </c>
      <c r="L621" t="inlineStr">
        <is>
          <t>New York : Elsevier Pub. Co., 1950.</t>
        </is>
      </c>
      <c r="M621" t="inlineStr">
        <is>
          <t>1950</t>
        </is>
      </c>
      <c r="N621" t="inlineStr">
        <is>
          <t>4th English ed. : rev. and enl. in accordance with the 11th German ed. by H.V. Simon and N.G. Bisset.</t>
        </is>
      </c>
      <c r="O621" t="inlineStr">
        <is>
          <t>eng</t>
        </is>
      </c>
      <c r="P621" t="inlineStr">
        <is>
          <t>nyu</t>
        </is>
      </c>
      <c r="R621" t="inlineStr">
        <is>
          <t xml:space="preserve">QD </t>
        </is>
      </c>
      <c r="S621" t="n">
        <v>4</v>
      </c>
      <c r="T621" t="n">
        <v>4</v>
      </c>
      <c r="U621" t="inlineStr">
        <is>
          <t>2001-01-17</t>
        </is>
      </c>
      <c r="V621" t="inlineStr">
        <is>
          <t>2001-01-17</t>
        </is>
      </c>
      <c r="W621" t="inlineStr">
        <is>
          <t>1994-12-03</t>
        </is>
      </c>
      <c r="X621" t="inlineStr">
        <is>
          <t>1994-12-03</t>
        </is>
      </c>
      <c r="Y621" t="n">
        <v>193</v>
      </c>
      <c r="Z621" t="n">
        <v>136</v>
      </c>
      <c r="AA621" t="n">
        <v>313</v>
      </c>
      <c r="AB621" t="n">
        <v>1</v>
      </c>
      <c r="AC621" t="n">
        <v>2</v>
      </c>
      <c r="AD621" t="n">
        <v>3</v>
      </c>
      <c r="AE621" t="n">
        <v>11</v>
      </c>
      <c r="AF621" t="n">
        <v>2</v>
      </c>
      <c r="AG621" t="n">
        <v>6</v>
      </c>
      <c r="AH621" t="n">
        <v>1</v>
      </c>
      <c r="AI621" t="n">
        <v>1</v>
      </c>
      <c r="AJ621" t="n">
        <v>1</v>
      </c>
      <c r="AK621" t="n">
        <v>5</v>
      </c>
      <c r="AL621" t="n">
        <v>0</v>
      </c>
      <c r="AM621" t="n">
        <v>1</v>
      </c>
      <c r="AN621" t="n">
        <v>0</v>
      </c>
      <c r="AO621" t="n">
        <v>0</v>
      </c>
      <c r="AP621" t="inlineStr">
        <is>
          <t>No</t>
        </is>
      </c>
      <c r="AQ621" t="inlineStr">
        <is>
          <t>No</t>
        </is>
      </c>
      <c r="AR621">
        <f>HYPERLINK("http://catalog.hathitrust.org/Record/000735841","HathiTrust Record")</f>
        <v/>
      </c>
      <c r="AS621">
        <f>HYPERLINK("https://creighton-primo.hosted.exlibrisgroup.com/primo-explore/search?tab=default_tab&amp;search_scope=EVERYTHING&amp;vid=01CRU&amp;lang=en_US&amp;offset=0&amp;query=any,contains,991004278139702656","Catalog Record")</f>
        <v/>
      </c>
      <c r="AT621">
        <f>HYPERLINK("http://www.worldcat.org/oclc/2898467","WorldCat Record")</f>
        <v/>
      </c>
      <c r="AU621" t="inlineStr">
        <is>
          <t>1485011:eng</t>
        </is>
      </c>
      <c r="AV621" t="inlineStr">
        <is>
          <t>2898467</t>
        </is>
      </c>
      <c r="AW621" t="inlineStr">
        <is>
          <t>991004278139702656</t>
        </is>
      </c>
      <c r="AX621" t="inlineStr">
        <is>
          <t>991004278139702656</t>
        </is>
      </c>
      <c r="AY621" t="inlineStr">
        <is>
          <t>2259349590002656</t>
        </is>
      </c>
      <c r="AZ621" t="inlineStr">
        <is>
          <t>BOOK</t>
        </is>
      </c>
      <c r="BC621" t="inlineStr">
        <is>
          <t>32285001980118</t>
        </is>
      </c>
      <c r="BD621" t="inlineStr">
        <is>
          <t>893349824</t>
        </is>
      </c>
    </row>
    <row r="622">
      <c r="A622" t="inlineStr">
        <is>
          <t>No</t>
        </is>
      </c>
      <c r="B622" t="inlineStr">
        <is>
          <t>QD251 .L4</t>
        </is>
      </c>
      <c r="C622" t="inlineStr">
        <is>
          <t>0                      QD 0251000L  4</t>
        </is>
      </c>
      <c r="D622" t="inlineStr">
        <is>
          <t>The reactive intermediates of organic chemistry.</t>
        </is>
      </c>
      <c r="F622" t="inlineStr">
        <is>
          <t>No</t>
        </is>
      </c>
      <c r="G622" t="inlineStr">
        <is>
          <t>1</t>
        </is>
      </c>
      <c r="H622" t="inlineStr">
        <is>
          <t>No</t>
        </is>
      </c>
      <c r="I622" t="inlineStr">
        <is>
          <t>No</t>
        </is>
      </c>
      <c r="J622" t="inlineStr">
        <is>
          <t>0</t>
        </is>
      </c>
      <c r="K622" t="inlineStr">
        <is>
          <t>Leffler, John E.</t>
        </is>
      </c>
      <c r="L622" t="inlineStr">
        <is>
          <t>New York, Interscience Publishers, 1956.</t>
        </is>
      </c>
      <c r="M622" t="inlineStr">
        <is>
          <t>1956</t>
        </is>
      </c>
      <c r="O622" t="inlineStr">
        <is>
          <t>eng</t>
        </is>
      </c>
      <c r="P622" t="inlineStr">
        <is>
          <t>nyu</t>
        </is>
      </c>
      <c r="R622" t="inlineStr">
        <is>
          <t xml:space="preserve">QD </t>
        </is>
      </c>
      <c r="S622" t="n">
        <v>2</v>
      </c>
      <c r="T622" t="n">
        <v>2</v>
      </c>
      <c r="U622" t="inlineStr">
        <is>
          <t>1998-07-30</t>
        </is>
      </c>
      <c r="V622" t="inlineStr">
        <is>
          <t>1998-07-30</t>
        </is>
      </c>
      <c r="W622" t="inlineStr">
        <is>
          <t>1997-06-17</t>
        </is>
      </c>
      <c r="X622" t="inlineStr">
        <is>
          <t>1997-06-17</t>
        </is>
      </c>
      <c r="Y622" t="n">
        <v>447</v>
      </c>
      <c r="Z622" t="n">
        <v>352</v>
      </c>
      <c r="AA622" t="n">
        <v>363</v>
      </c>
      <c r="AB622" t="n">
        <v>3</v>
      </c>
      <c r="AC622" t="n">
        <v>3</v>
      </c>
      <c r="AD622" t="n">
        <v>15</v>
      </c>
      <c r="AE622" t="n">
        <v>15</v>
      </c>
      <c r="AF622" t="n">
        <v>4</v>
      </c>
      <c r="AG622" t="n">
        <v>4</v>
      </c>
      <c r="AH622" t="n">
        <v>5</v>
      </c>
      <c r="AI622" t="n">
        <v>5</v>
      </c>
      <c r="AJ622" t="n">
        <v>7</v>
      </c>
      <c r="AK622" t="n">
        <v>7</v>
      </c>
      <c r="AL622" t="n">
        <v>2</v>
      </c>
      <c r="AM622" t="n">
        <v>2</v>
      </c>
      <c r="AN622" t="n">
        <v>0</v>
      </c>
      <c r="AO622" t="n">
        <v>0</v>
      </c>
      <c r="AP622" t="inlineStr">
        <is>
          <t>Yes</t>
        </is>
      </c>
      <c r="AQ622" t="inlineStr">
        <is>
          <t>No</t>
        </is>
      </c>
      <c r="AR622">
        <f>HYPERLINK("http://catalog.hathitrust.org/Record/000605955","HathiTrust Record")</f>
        <v/>
      </c>
      <c r="AS622">
        <f>HYPERLINK("https://creighton-primo.hosted.exlibrisgroup.com/primo-explore/search?tab=default_tab&amp;search_scope=EVERYTHING&amp;vid=01CRU&amp;lang=en_US&amp;offset=0&amp;query=any,contains,991002956709702656","Catalog Record")</f>
        <v/>
      </c>
      <c r="AT622">
        <f>HYPERLINK("http://www.worldcat.org/oclc/542333","WorldCat Record")</f>
        <v/>
      </c>
      <c r="AU622" t="inlineStr">
        <is>
          <t>1571400:eng</t>
        </is>
      </c>
      <c r="AV622" t="inlineStr">
        <is>
          <t>542333</t>
        </is>
      </c>
      <c r="AW622" t="inlineStr">
        <is>
          <t>991002956709702656</t>
        </is>
      </c>
      <c r="AX622" t="inlineStr">
        <is>
          <t>991002956709702656</t>
        </is>
      </c>
      <c r="AY622" t="inlineStr">
        <is>
          <t>2266574830002656</t>
        </is>
      </c>
      <c r="AZ622" t="inlineStr">
        <is>
          <t>BOOK</t>
        </is>
      </c>
      <c r="BC622" t="inlineStr">
        <is>
          <t>32285002793874</t>
        </is>
      </c>
      <c r="BD622" t="inlineStr">
        <is>
          <t>893780440</t>
        </is>
      </c>
    </row>
    <row r="623">
      <c r="A623" t="inlineStr">
        <is>
          <t>No</t>
        </is>
      </c>
      <c r="B623" t="inlineStr">
        <is>
          <t>QD251 .R62</t>
        </is>
      </c>
      <c r="C623" t="inlineStr">
        <is>
          <t>0                      QD 0251000R  62</t>
        </is>
      </c>
      <c r="D623" t="inlineStr">
        <is>
          <t>Rodd's Chemistry of carbon compounds; a modern comprehensive treatise.</t>
        </is>
      </c>
      <c r="E623" t="inlineStr">
        <is>
          <t>V.4 PT.H</t>
        </is>
      </c>
      <c r="F623" t="inlineStr">
        <is>
          <t>Yes</t>
        </is>
      </c>
      <c r="G623" t="inlineStr">
        <is>
          <t>1</t>
        </is>
      </c>
      <c r="H623" t="inlineStr">
        <is>
          <t>No</t>
        </is>
      </c>
      <c r="I623" t="inlineStr">
        <is>
          <t>No</t>
        </is>
      </c>
      <c r="J623" t="inlineStr">
        <is>
          <t>0</t>
        </is>
      </c>
      <c r="K623" t="inlineStr">
        <is>
          <t>Rodd, E. H., editor.</t>
        </is>
      </c>
      <c r="L623" t="inlineStr">
        <is>
          <t>Amsterdam, New York, Elsevier Pub. Co., 1964-</t>
        </is>
      </c>
      <c r="M623" t="inlineStr">
        <is>
          <t>1964</t>
        </is>
      </c>
      <c r="N623" t="inlineStr">
        <is>
          <t>2d ed., edited by S. Coffey.</t>
        </is>
      </c>
      <c r="O623" t="inlineStr">
        <is>
          <t>eng</t>
        </is>
      </c>
      <c r="P623" t="inlineStr">
        <is>
          <t xml:space="preserve">ne </t>
        </is>
      </c>
      <c r="R623" t="inlineStr">
        <is>
          <t xml:space="preserve">QD </t>
        </is>
      </c>
      <c r="S623" t="n">
        <v>0</v>
      </c>
      <c r="T623" t="n">
        <v>23</v>
      </c>
      <c r="V623" t="inlineStr">
        <is>
          <t>1997-02-14</t>
        </is>
      </c>
      <c r="W623" t="inlineStr">
        <is>
          <t>1993-10-06</t>
        </is>
      </c>
      <c r="X623" t="inlineStr">
        <is>
          <t>1993-10-06</t>
        </is>
      </c>
      <c r="Y623" t="n">
        <v>671</v>
      </c>
      <c r="Z623" t="n">
        <v>551</v>
      </c>
      <c r="AA623" t="n">
        <v>586</v>
      </c>
      <c r="AB623" t="n">
        <v>3</v>
      </c>
      <c r="AC623" t="n">
        <v>3</v>
      </c>
      <c r="AD623" t="n">
        <v>22</v>
      </c>
      <c r="AE623" t="n">
        <v>23</v>
      </c>
      <c r="AF623" t="n">
        <v>7</v>
      </c>
      <c r="AG623" t="n">
        <v>7</v>
      </c>
      <c r="AH623" t="n">
        <v>5</v>
      </c>
      <c r="AI623" t="n">
        <v>6</v>
      </c>
      <c r="AJ623" t="n">
        <v>12</v>
      </c>
      <c r="AK623" t="n">
        <v>12</v>
      </c>
      <c r="AL623" t="n">
        <v>2</v>
      </c>
      <c r="AM623" t="n">
        <v>2</v>
      </c>
      <c r="AN623" t="n">
        <v>0</v>
      </c>
      <c r="AO623" t="n">
        <v>0</v>
      </c>
      <c r="AP623" t="inlineStr">
        <is>
          <t>No</t>
        </is>
      </c>
      <c r="AQ623" t="inlineStr">
        <is>
          <t>Yes</t>
        </is>
      </c>
      <c r="AR623">
        <f>HYPERLINK("http://catalog.hathitrust.org/Record/000238439","HathiTrust Record")</f>
        <v/>
      </c>
      <c r="AS623">
        <f>HYPERLINK("https://creighton-primo.hosted.exlibrisgroup.com/primo-explore/search?tab=default_tab&amp;search_scope=EVERYTHING&amp;vid=01CRU&amp;lang=en_US&amp;offset=0&amp;query=any,contains,991003203899702656","Catalog Record")</f>
        <v/>
      </c>
      <c r="AT623">
        <f>HYPERLINK("http://www.worldcat.org/oclc/728826","WorldCat Record")</f>
        <v/>
      </c>
      <c r="AU623" t="inlineStr">
        <is>
          <t>4535710341:eng</t>
        </is>
      </c>
      <c r="AV623" t="inlineStr">
        <is>
          <t>728826</t>
        </is>
      </c>
      <c r="AW623" t="inlineStr">
        <is>
          <t>991003203899702656</t>
        </is>
      </c>
      <c r="AX623" t="inlineStr">
        <is>
          <t>991003203899702656</t>
        </is>
      </c>
      <c r="AY623" t="inlineStr">
        <is>
          <t>2263169370002656</t>
        </is>
      </c>
      <c r="AZ623" t="inlineStr">
        <is>
          <t>BOOK</t>
        </is>
      </c>
      <c r="BC623" t="inlineStr">
        <is>
          <t>32285001773810</t>
        </is>
      </c>
      <c r="BD623" t="inlineStr">
        <is>
          <t>893530938</t>
        </is>
      </c>
    </row>
    <row r="624">
      <c r="A624" t="inlineStr">
        <is>
          <t>No</t>
        </is>
      </c>
      <c r="B624" t="inlineStr">
        <is>
          <t>QD251 .R62</t>
        </is>
      </c>
      <c r="C624" t="inlineStr">
        <is>
          <t>0                      QD 0251000R  62</t>
        </is>
      </c>
      <c r="D624" t="inlineStr">
        <is>
          <t>Rodd's Chemistry of carbon compounds; a modern comprehensive treatise.</t>
        </is>
      </c>
      <c r="E624" t="inlineStr">
        <is>
          <t>V.3 PT.E</t>
        </is>
      </c>
      <c r="F624" t="inlineStr">
        <is>
          <t>Yes</t>
        </is>
      </c>
      <c r="G624" t="inlineStr">
        <is>
          <t>1</t>
        </is>
      </c>
      <c r="H624" t="inlineStr">
        <is>
          <t>No</t>
        </is>
      </c>
      <c r="I624" t="inlineStr">
        <is>
          <t>No</t>
        </is>
      </c>
      <c r="J624" t="inlineStr">
        <is>
          <t>0</t>
        </is>
      </c>
      <c r="K624" t="inlineStr">
        <is>
          <t>Rodd, E. H., editor.</t>
        </is>
      </c>
      <c r="L624" t="inlineStr">
        <is>
          <t>Amsterdam, New York, Elsevier Pub. Co., 1964-</t>
        </is>
      </c>
      <c r="M624" t="inlineStr">
        <is>
          <t>1964</t>
        </is>
      </c>
      <c r="N624" t="inlineStr">
        <is>
          <t>2d ed., edited by S. Coffey.</t>
        </is>
      </c>
      <c r="O624" t="inlineStr">
        <is>
          <t>eng</t>
        </is>
      </c>
      <c r="P624" t="inlineStr">
        <is>
          <t xml:space="preserve">ne </t>
        </is>
      </c>
      <c r="R624" t="inlineStr">
        <is>
          <t xml:space="preserve">QD </t>
        </is>
      </c>
      <c r="S624" t="n">
        <v>0</v>
      </c>
      <c r="T624" t="n">
        <v>23</v>
      </c>
      <c r="V624" t="inlineStr">
        <is>
          <t>1997-02-14</t>
        </is>
      </c>
      <c r="W624" t="inlineStr">
        <is>
          <t>1993-10-06</t>
        </is>
      </c>
      <c r="X624" t="inlineStr">
        <is>
          <t>1993-10-06</t>
        </is>
      </c>
      <c r="Y624" t="n">
        <v>671</v>
      </c>
      <c r="Z624" t="n">
        <v>551</v>
      </c>
      <c r="AA624" t="n">
        <v>586</v>
      </c>
      <c r="AB624" t="n">
        <v>3</v>
      </c>
      <c r="AC624" t="n">
        <v>3</v>
      </c>
      <c r="AD624" t="n">
        <v>22</v>
      </c>
      <c r="AE624" t="n">
        <v>23</v>
      </c>
      <c r="AF624" t="n">
        <v>7</v>
      </c>
      <c r="AG624" t="n">
        <v>7</v>
      </c>
      <c r="AH624" t="n">
        <v>5</v>
      </c>
      <c r="AI624" t="n">
        <v>6</v>
      </c>
      <c r="AJ624" t="n">
        <v>12</v>
      </c>
      <c r="AK624" t="n">
        <v>12</v>
      </c>
      <c r="AL624" t="n">
        <v>2</v>
      </c>
      <c r="AM624" t="n">
        <v>2</v>
      </c>
      <c r="AN624" t="n">
        <v>0</v>
      </c>
      <c r="AO624" t="n">
        <v>0</v>
      </c>
      <c r="AP624" t="inlineStr">
        <is>
          <t>No</t>
        </is>
      </c>
      <c r="AQ624" t="inlineStr">
        <is>
          <t>Yes</t>
        </is>
      </c>
      <c r="AR624">
        <f>HYPERLINK("http://catalog.hathitrust.org/Record/000238439","HathiTrust Record")</f>
        <v/>
      </c>
      <c r="AS624">
        <f>HYPERLINK("https://creighton-primo.hosted.exlibrisgroup.com/primo-explore/search?tab=default_tab&amp;search_scope=EVERYTHING&amp;vid=01CRU&amp;lang=en_US&amp;offset=0&amp;query=any,contains,991003203899702656","Catalog Record")</f>
        <v/>
      </c>
      <c r="AT624">
        <f>HYPERLINK("http://www.worldcat.org/oclc/728826","WorldCat Record")</f>
        <v/>
      </c>
      <c r="AU624" t="inlineStr">
        <is>
          <t>4535710341:eng</t>
        </is>
      </c>
      <c r="AV624" t="inlineStr">
        <is>
          <t>728826</t>
        </is>
      </c>
      <c r="AW624" t="inlineStr">
        <is>
          <t>991003203899702656</t>
        </is>
      </c>
      <c r="AX624" t="inlineStr">
        <is>
          <t>991003203899702656</t>
        </is>
      </c>
      <c r="AY624" t="inlineStr">
        <is>
          <t>2263169370002656</t>
        </is>
      </c>
      <c r="AZ624" t="inlineStr">
        <is>
          <t>BOOK</t>
        </is>
      </c>
      <c r="BC624" t="inlineStr">
        <is>
          <t>32285001773711</t>
        </is>
      </c>
      <c r="BD624" t="inlineStr">
        <is>
          <t>893530934</t>
        </is>
      </c>
    </row>
    <row r="625">
      <c r="A625" t="inlineStr">
        <is>
          <t>No</t>
        </is>
      </c>
      <c r="B625" t="inlineStr">
        <is>
          <t>QD251 .R62</t>
        </is>
      </c>
      <c r="C625" t="inlineStr">
        <is>
          <t>0                      QD 0251000R  62</t>
        </is>
      </c>
      <c r="D625" t="inlineStr">
        <is>
          <t>Rodd's Chemistry of carbon compounds; a modern comprehensive treatise.</t>
        </is>
      </c>
      <c r="E625" t="inlineStr">
        <is>
          <t>V.3 PT.F</t>
        </is>
      </c>
      <c r="F625" t="inlineStr">
        <is>
          <t>Yes</t>
        </is>
      </c>
      <c r="G625" t="inlineStr">
        <is>
          <t>1</t>
        </is>
      </c>
      <c r="H625" t="inlineStr">
        <is>
          <t>No</t>
        </is>
      </c>
      <c r="I625" t="inlineStr">
        <is>
          <t>No</t>
        </is>
      </c>
      <c r="J625" t="inlineStr">
        <is>
          <t>0</t>
        </is>
      </c>
      <c r="K625" t="inlineStr">
        <is>
          <t>Rodd, E. H., editor.</t>
        </is>
      </c>
      <c r="L625" t="inlineStr">
        <is>
          <t>Amsterdam, New York, Elsevier Pub. Co., 1964-</t>
        </is>
      </c>
      <c r="M625" t="inlineStr">
        <is>
          <t>1964</t>
        </is>
      </c>
      <c r="N625" t="inlineStr">
        <is>
          <t>2d ed., edited by S. Coffey.</t>
        </is>
      </c>
      <c r="O625" t="inlineStr">
        <is>
          <t>eng</t>
        </is>
      </c>
      <c r="P625" t="inlineStr">
        <is>
          <t xml:space="preserve">ne </t>
        </is>
      </c>
      <c r="R625" t="inlineStr">
        <is>
          <t xml:space="preserve">QD </t>
        </is>
      </c>
      <c r="S625" t="n">
        <v>0</v>
      </c>
      <c r="T625" t="n">
        <v>23</v>
      </c>
      <c r="V625" t="inlineStr">
        <is>
          <t>1997-02-14</t>
        </is>
      </c>
      <c r="W625" t="inlineStr">
        <is>
          <t>1993-10-06</t>
        </is>
      </c>
      <c r="X625" t="inlineStr">
        <is>
          <t>1993-10-06</t>
        </is>
      </c>
      <c r="Y625" t="n">
        <v>671</v>
      </c>
      <c r="Z625" t="n">
        <v>551</v>
      </c>
      <c r="AA625" t="n">
        <v>586</v>
      </c>
      <c r="AB625" t="n">
        <v>3</v>
      </c>
      <c r="AC625" t="n">
        <v>3</v>
      </c>
      <c r="AD625" t="n">
        <v>22</v>
      </c>
      <c r="AE625" t="n">
        <v>23</v>
      </c>
      <c r="AF625" t="n">
        <v>7</v>
      </c>
      <c r="AG625" t="n">
        <v>7</v>
      </c>
      <c r="AH625" t="n">
        <v>5</v>
      </c>
      <c r="AI625" t="n">
        <v>6</v>
      </c>
      <c r="AJ625" t="n">
        <v>12</v>
      </c>
      <c r="AK625" t="n">
        <v>12</v>
      </c>
      <c r="AL625" t="n">
        <v>2</v>
      </c>
      <c r="AM625" t="n">
        <v>2</v>
      </c>
      <c r="AN625" t="n">
        <v>0</v>
      </c>
      <c r="AO625" t="n">
        <v>0</v>
      </c>
      <c r="AP625" t="inlineStr">
        <is>
          <t>No</t>
        </is>
      </c>
      <c r="AQ625" t="inlineStr">
        <is>
          <t>Yes</t>
        </is>
      </c>
      <c r="AR625">
        <f>HYPERLINK("http://catalog.hathitrust.org/Record/000238439","HathiTrust Record")</f>
        <v/>
      </c>
      <c r="AS625">
        <f>HYPERLINK("https://creighton-primo.hosted.exlibrisgroup.com/primo-explore/search?tab=default_tab&amp;search_scope=EVERYTHING&amp;vid=01CRU&amp;lang=en_US&amp;offset=0&amp;query=any,contains,991003203899702656","Catalog Record")</f>
        <v/>
      </c>
      <c r="AT625">
        <f>HYPERLINK("http://www.worldcat.org/oclc/728826","WorldCat Record")</f>
        <v/>
      </c>
      <c r="AU625" t="inlineStr">
        <is>
          <t>4535710341:eng</t>
        </is>
      </c>
      <c r="AV625" t="inlineStr">
        <is>
          <t>728826</t>
        </is>
      </c>
      <c r="AW625" t="inlineStr">
        <is>
          <t>991003203899702656</t>
        </is>
      </c>
      <c r="AX625" t="inlineStr">
        <is>
          <t>991003203899702656</t>
        </is>
      </c>
      <c r="AY625" t="inlineStr">
        <is>
          <t>2263169370002656</t>
        </is>
      </c>
      <c r="AZ625" t="inlineStr">
        <is>
          <t>BOOK</t>
        </is>
      </c>
      <c r="BC625" t="inlineStr">
        <is>
          <t>32285001773729</t>
        </is>
      </c>
      <c r="BD625" t="inlineStr">
        <is>
          <t>893530933</t>
        </is>
      </c>
    </row>
    <row r="626">
      <c r="A626" t="inlineStr">
        <is>
          <t>No</t>
        </is>
      </c>
      <c r="B626" t="inlineStr">
        <is>
          <t>QD251 .R62</t>
        </is>
      </c>
      <c r="C626" t="inlineStr">
        <is>
          <t>0                      QD 0251000R  62</t>
        </is>
      </c>
      <c r="D626" t="inlineStr">
        <is>
          <t>Rodd's Chemistry of carbon compounds; a modern comprehensive treatise.</t>
        </is>
      </c>
      <c r="E626" t="inlineStr">
        <is>
          <t>V.4 PT.E</t>
        </is>
      </c>
      <c r="F626" t="inlineStr">
        <is>
          <t>Yes</t>
        </is>
      </c>
      <c r="G626" t="inlineStr">
        <is>
          <t>1</t>
        </is>
      </c>
      <c r="H626" t="inlineStr">
        <is>
          <t>No</t>
        </is>
      </c>
      <c r="I626" t="inlineStr">
        <is>
          <t>No</t>
        </is>
      </c>
      <c r="J626" t="inlineStr">
        <is>
          <t>0</t>
        </is>
      </c>
      <c r="K626" t="inlineStr">
        <is>
          <t>Rodd, E. H., editor.</t>
        </is>
      </c>
      <c r="L626" t="inlineStr">
        <is>
          <t>Amsterdam, New York, Elsevier Pub. Co., 1964-</t>
        </is>
      </c>
      <c r="M626" t="inlineStr">
        <is>
          <t>1964</t>
        </is>
      </c>
      <c r="N626" t="inlineStr">
        <is>
          <t>2d ed., edited by S. Coffey.</t>
        </is>
      </c>
      <c r="O626" t="inlineStr">
        <is>
          <t>eng</t>
        </is>
      </c>
      <c r="P626" t="inlineStr">
        <is>
          <t xml:space="preserve">ne </t>
        </is>
      </c>
      <c r="R626" t="inlineStr">
        <is>
          <t xml:space="preserve">QD </t>
        </is>
      </c>
      <c r="S626" t="n">
        <v>0</v>
      </c>
      <c r="T626" t="n">
        <v>23</v>
      </c>
      <c r="V626" t="inlineStr">
        <is>
          <t>1997-02-14</t>
        </is>
      </c>
      <c r="W626" t="inlineStr">
        <is>
          <t>1993-10-06</t>
        </is>
      </c>
      <c r="X626" t="inlineStr">
        <is>
          <t>1993-10-06</t>
        </is>
      </c>
      <c r="Y626" t="n">
        <v>671</v>
      </c>
      <c r="Z626" t="n">
        <v>551</v>
      </c>
      <c r="AA626" t="n">
        <v>586</v>
      </c>
      <c r="AB626" t="n">
        <v>3</v>
      </c>
      <c r="AC626" t="n">
        <v>3</v>
      </c>
      <c r="AD626" t="n">
        <v>22</v>
      </c>
      <c r="AE626" t="n">
        <v>23</v>
      </c>
      <c r="AF626" t="n">
        <v>7</v>
      </c>
      <c r="AG626" t="n">
        <v>7</v>
      </c>
      <c r="AH626" t="n">
        <v>5</v>
      </c>
      <c r="AI626" t="n">
        <v>6</v>
      </c>
      <c r="AJ626" t="n">
        <v>12</v>
      </c>
      <c r="AK626" t="n">
        <v>12</v>
      </c>
      <c r="AL626" t="n">
        <v>2</v>
      </c>
      <c r="AM626" t="n">
        <v>2</v>
      </c>
      <c r="AN626" t="n">
        <v>0</v>
      </c>
      <c r="AO626" t="n">
        <v>0</v>
      </c>
      <c r="AP626" t="inlineStr">
        <is>
          <t>No</t>
        </is>
      </c>
      <c r="AQ626" t="inlineStr">
        <is>
          <t>Yes</t>
        </is>
      </c>
      <c r="AR626">
        <f>HYPERLINK("http://catalog.hathitrust.org/Record/000238439","HathiTrust Record")</f>
        <v/>
      </c>
      <c r="AS626">
        <f>HYPERLINK("https://creighton-primo.hosted.exlibrisgroup.com/primo-explore/search?tab=default_tab&amp;search_scope=EVERYTHING&amp;vid=01CRU&amp;lang=en_US&amp;offset=0&amp;query=any,contains,991003203899702656","Catalog Record")</f>
        <v/>
      </c>
      <c r="AT626">
        <f>HYPERLINK("http://www.worldcat.org/oclc/728826","WorldCat Record")</f>
        <v/>
      </c>
      <c r="AU626" t="inlineStr">
        <is>
          <t>4535710341:eng</t>
        </is>
      </c>
      <c r="AV626" t="inlineStr">
        <is>
          <t>728826</t>
        </is>
      </c>
      <c r="AW626" t="inlineStr">
        <is>
          <t>991003203899702656</t>
        </is>
      </c>
      <c r="AX626" t="inlineStr">
        <is>
          <t>991003203899702656</t>
        </is>
      </c>
      <c r="AY626" t="inlineStr">
        <is>
          <t>2263169370002656</t>
        </is>
      </c>
      <c r="AZ626" t="inlineStr">
        <is>
          <t>BOOK</t>
        </is>
      </c>
      <c r="BC626" t="inlineStr">
        <is>
          <t>32285001773786</t>
        </is>
      </c>
      <c r="BD626" t="inlineStr">
        <is>
          <t>893511670</t>
        </is>
      </c>
    </row>
    <row r="627">
      <c r="A627" t="inlineStr">
        <is>
          <t>No</t>
        </is>
      </c>
      <c r="B627" t="inlineStr">
        <is>
          <t>QD251 .R62</t>
        </is>
      </c>
      <c r="C627" t="inlineStr">
        <is>
          <t>0                      QD 0251000R  62</t>
        </is>
      </c>
      <c r="D627" t="inlineStr">
        <is>
          <t>Rodd's Chemistry of carbon compounds; a modern comprehensive treatise.</t>
        </is>
      </c>
      <c r="E627" t="inlineStr">
        <is>
          <t>V.1 PT.E</t>
        </is>
      </c>
      <c r="F627" t="inlineStr">
        <is>
          <t>Yes</t>
        </is>
      </c>
      <c r="G627" t="inlineStr">
        <is>
          <t>1</t>
        </is>
      </c>
      <c r="H627" t="inlineStr">
        <is>
          <t>No</t>
        </is>
      </c>
      <c r="I627" t="inlineStr">
        <is>
          <t>No</t>
        </is>
      </c>
      <c r="J627" t="inlineStr">
        <is>
          <t>0</t>
        </is>
      </c>
      <c r="K627" t="inlineStr">
        <is>
          <t>Rodd, E. H., editor.</t>
        </is>
      </c>
      <c r="L627" t="inlineStr">
        <is>
          <t>Amsterdam, New York, Elsevier Pub. Co., 1964-</t>
        </is>
      </c>
      <c r="M627" t="inlineStr">
        <is>
          <t>1964</t>
        </is>
      </c>
      <c r="N627" t="inlineStr">
        <is>
          <t>2d ed., edited by S. Coffey.</t>
        </is>
      </c>
      <c r="O627" t="inlineStr">
        <is>
          <t>eng</t>
        </is>
      </c>
      <c r="P627" t="inlineStr">
        <is>
          <t xml:space="preserve">ne </t>
        </is>
      </c>
      <c r="R627" t="inlineStr">
        <is>
          <t xml:space="preserve">QD </t>
        </is>
      </c>
      <c r="S627" t="n">
        <v>0</v>
      </c>
      <c r="T627" t="n">
        <v>23</v>
      </c>
      <c r="V627" t="inlineStr">
        <is>
          <t>1997-02-14</t>
        </is>
      </c>
      <c r="W627" t="inlineStr">
        <is>
          <t>1993-10-06</t>
        </is>
      </c>
      <c r="X627" t="inlineStr">
        <is>
          <t>1993-10-06</t>
        </is>
      </c>
      <c r="Y627" t="n">
        <v>671</v>
      </c>
      <c r="Z627" t="n">
        <v>551</v>
      </c>
      <c r="AA627" t="n">
        <v>586</v>
      </c>
      <c r="AB627" t="n">
        <v>3</v>
      </c>
      <c r="AC627" t="n">
        <v>3</v>
      </c>
      <c r="AD627" t="n">
        <v>22</v>
      </c>
      <c r="AE627" t="n">
        <v>23</v>
      </c>
      <c r="AF627" t="n">
        <v>7</v>
      </c>
      <c r="AG627" t="n">
        <v>7</v>
      </c>
      <c r="AH627" t="n">
        <v>5</v>
      </c>
      <c r="AI627" t="n">
        <v>6</v>
      </c>
      <c r="AJ627" t="n">
        <v>12</v>
      </c>
      <c r="AK627" t="n">
        <v>12</v>
      </c>
      <c r="AL627" t="n">
        <v>2</v>
      </c>
      <c r="AM627" t="n">
        <v>2</v>
      </c>
      <c r="AN627" t="n">
        <v>0</v>
      </c>
      <c r="AO627" t="n">
        <v>0</v>
      </c>
      <c r="AP627" t="inlineStr">
        <is>
          <t>No</t>
        </is>
      </c>
      <c r="AQ627" t="inlineStr">
        <is>
          <t>Yes</t>
        </is>
      </c>
      <c r="AR627">
        <f>HYPERLINK("http://catalog.hathitrust.org/Record/000238439","HathiTrust Record")</f>
        <v/>
      </c>
      <c r="AS627">
        <f>HYPERLINK("https://creighton-primo.hosted.exlibrisgroup.com/primo-explore/search?tab=default_tab&amp;search_scope=EVERYTHING&amp;vid=01CRU&amp;lang=en_US&amp;offset=0&amp;query=any,contains,991003203899702656","Catalog Record")</f>
        <v/>
      </c>
      <c r="AT627">
        <f>HYPERLINK("http://www.worldcat.org/oclc/728826","WorldCat Record")</f>
        <v/>
      </c>
      <c r="AU627" t="inlineStr">
        <is>
          <t>4535710341:eng</t>
        </is>
      </c>
      <c r="AV627" t="inlineStr">
        <is>
          <t>728826</t>
        </is>
      </c>
      <c r="AW627" t="inlineStr">
        <is>
          <t>991003203899702656</t>
        </is>
      </c>
      <c r="AX627" t="inlineStr">
        <is>
          <t>991003203899702656</t>
        </is>
      </c>
      <c r="AY627" t="inlineStr">
        <is>
          <t>2263169370002656</t>
        </is>
      </c>
      <c r="AZ627" t="inlineStr">
        <is>
          <t>BOOK</t>
        </is>
      </c>
      <c r="BC627" t="inlineStr">
        <is>
          <t>32285001773562</t>
        </is>
      </c>
      <c r="BD627" t="inlineStr">
        <is>
          <t>893524540</t>
        </is>
      </c>
    </row>
    <row r="628">
      <c r="A628" t="inlineStr">
        <is>
          <t>No</t>
        </is>
      </c>
      <c r="B628" t="inlineStr">
        <is>
          <t>QD251 .R62</t>
        </is>
      </c>
      <c r="C628" t="inlineStr">
        <is>
          <t>0                      QD 0251000R  62</t>
        </is>
      </c>
      <c r="D628" t="inlineStr">
        <is>
          <t>Rodd's Chemistry of carbon compounds; a modern comprehensive treatise.</t>
        </is>
      </c>
      <c r="E628" t="inlineStr">
        <is>
          <t>V.1 PT.A-B</t>
        </is>
      </c>
      <c r="F628" t="inlineStr">
        <is>
          <t>Yes</t>
        </is>
      </c>
      <c r="G628" t="inlineStr">
        <is>
          <t>1</t>
        </is>
      </c>
      <c r="H628" t="inlineStr">
        <is>
          <t>No</t>
        </is>
      </c>
      <c r="I628" t="inlineStr">
        <is>
          <t>No</t>
        </is>
      </c>
      <c r="J628" t="inlineStr">
        <is>
          <t>0</t>
        </is>
      </c>
      <c r="K628" t="inlineStr">
        <is>
          <t>Rodd, E. H., editor.</t>
        </is>
      </c>
      <c r="L628" t="inlineStr">
        <is>
          <t>Amsterdam, New York, Elsevier Pub. Co., 1964-</t>
        </is>
      </c>
      <c r="M628" t="inlineStr">
        <is>
          <t>1964</t>
        </is>
      </c>
      <c r="N628" t="inlineStr">
        <is>
          <t>2d ed., edited by S. Coffey.</t>
        </is>
      </c>
      <c r="O628" t="inlineStr">
        <is>
          <t>eng</t>
        </is>
      </c>
      <c r="P628" t="inlineStr">
        <is>
          <t xml:space="preserve">ne </t>
        </is>
      </c>
      <c r="R628" t="inlineStr">
        <is>
          <t xml:space="preserve">QD </t>
        </is>
      </c>
      <c r="S628" t="n">
        <v>0</v>
      </c>
      <c r="T628" t="n">
        <v>23</v>
      </c>
      <c r="V628" t="inlineStr">
        <is>
          <t>1997-02-14</t>
        </is>
      </c>
      <c r="W628" t="inlineStr">
        <is>
          <t>1993-10-06</t>
        </is>
      </c>
      <c r="X628" t="inlineStr">
        <is>
          <t>1993-10-06</t>
        </is>
      </c>
      <c r="Y628" t="n">
        <v>671</v>
      </c>
      <c r="Z628" t="n">
        <v>551</v>
      </c>
      <c r="AA628" t="n">
        <v>586</v>
      </c>
      <c r="AB628" t="n">
        <v>3</v>
      </c>
      <c r="AC628" t="n">
        <v>3</v>
      </c>
      <c r="AD628" t="n">
        <v>22</v>
      </c>
      <c r="AE628" t="n">
        <v>23</v>
      </c>
      <c r="AF628" t="n">
        <v>7</v>
      </c>
      <c r="AG628" t="n">
        <v>7</v>
      </c>
      <c r="AH628" t="n">
        <v>5</v>
      </c>
      <c r="AI628" t="n">
        <v>6</v>
      </c>
      <c r="AJ628" t="n">
        <v>12</v>
      </c>
      <c r="AK628" t="n">
        <v>12</v>
      </c>
      <c r="AL628" t="n">
        <v>2</v>
      </c>
      <c r="AM628" t="n">
        <v>2</v>
      </c>
      <c r="AN628" t="n">
        <v>0</v>
      </c>
      <c r="AO628" t="n">
        <v>0</v>
      </c>
      <c r="AP628" t="inlineStr">
        <is>
          <t>No</t>
        </is>
      </c>
      <c r="AQ628" t="inlineStr">
        <is>
          <t>Yes</t>
        </is>
      </c>
      <c r="AR628">
        <f>HYPERLINK("http://catalog.hathitrust.org/Record/000238439","HathiTrust Record")</f>
        <v/>
      </c>
      <c r="AS628">
        <f>HYPERLINK("https://creighton-primo.hosted.exlibrisgroup.com/primo-explore/search?tab=default_tab&amp;search_scope=EVERYTHING&amp;vid=01CRU&amp;lang=en_US&amp;offset=0&amp;query=any,contains,991003203899702656","Catalog Record")</f>
        <v/>
      </c>
      <c r="AT628">
        <f>HYPERLINK("http://www.worldcat.org/oclc/728826","WorldCat Record")</f>
        <v/>
      </c>
      <c r="AU628" t="inlineStr">
        <is>
          <t>4535710341:eng</t>
        </is>
      </c>
      <c r="AV628" t="inlineStr">
        <is>
          <t>728826</t>
        </is>
      </c>
      <c r="AW628" t="inlineStr">
        <is>
          <t>991003203899702656</t>
        </is>
      </c>
      <c r="AX628" t="inlineStr">
        <is>
          <t>991003203899702656</t>
        </is>
      </c>
      <c r="AY628" t="inlineStr">
        <is>
          <t>2263169370002656</t>
        </is>
      </c>
      <c r="AZ628" t="inlineStr">
        <is>
          <t>BOOK</t>
        </is>
      </c>
      <c r="BC628" t="inlineStr">
        <is>
          <t>32285001773521</t>
        </is>
      </c>
      <c r="BD628" t="inlineStr">
        <is>
          <t>893505321</t>
        </is>
      </c>
    </row>
    <row r="629">
      <c r="A629" t="inlineStr">
        <is>
          <t>No</t>
        </is>
      </c>
      <c r="B629" t="inlineStr">
        <is>
          <t>QD251 .R62</t>
        </is>
      </c>
      <c r="C629" t="inlineStr">
        <is>
          <t>0                      QD 0251000R  62</t>
        </is>
      </c>
      <c r="D629" t="inlineStr">
        <is>
          <t>Rodd's Chemistry of carbon compounds; a modern comprehensive treatise.</t>
        </is>
      </c>
      <c r="E629" t="inlineStr">
        <is>
          <t>V.4 PT.G</t>
        </is>
      </c>
      <c r="F629" t="inlineStr">
        <is>
          <t>Yes</t>
        </is>
      </c>
      <c r="G629" t="inlineStr">
        <is>
          <t>1</t>
        </is>
      </c>
      <c r="H629" t="inlineStr">
        <is>
          <t>No</t>
        </is>
      </c>
      <c r="I629" t="inlineStr">
        <is>
          <t>No</t>
        </is>
      </c>
      <c r="J629" t="inlineStr">
        <is>
          <t>0</t>
        </is>
      </c>
      <c r="K629" t="inlineStr">
        <is>
          <t>Rodd, E. H., editor.</t>
        </is>
      </c>
      <c r="L629" t="inlineStr">
        <is>
          <t>Amsterdam, New York, Elsevier Pub. Co., 1964-</t>
        </is>
      </c>
      <c r="M629" t="inlineStr">
        <is>
          <t>1964</t>
        </is>
      </c>
      <c r="N629" t="inlineStr">
        <is>
          <t>2d ed., edited by S. Coffey.</t>
        </is>
      </c>
      <c r="O629" t="inlineStr">
        <is>
          <t>eng</t>
        </is>
      </c>
      <c r="P629" t="inlineStr">
        <is>
          <t xml:space="preserve">ne </t>
        </is>
      </c>
      <c r="R629" t="inlineStr">
        <is>
          <t xml:space="preserve">QD </t>
        </is>
      </c>
      <c r="S629" t="n">
        <v>0</v>
      </c>
      <c r="T629" t="n">
        <v>23</v>
      </c>
      <c r="V629" t="inlineStr">
        <is>
          <t>1997-02-14</t>
        </is>
      </c>
      <c r="W629" t="inlineStr">
        <is>
          <t>1993-10-06</t>
        </is>
      </c>
      <c r="X629" t="inlineStr">
        <is>
          <t>1993-10-06</t>
        </is>
      </c>
      <c r="Y629" t="n">
        <v>671</v>
      </c>
      <c r="Z629" t="n">
        <v>551</v>
      </c>
      <c r="AA629" t="n">
        <v>586</v>
      </c>
      <c r="AB629" t="n">
        <v>3</v>
      </c>
      <c r="AC629" t="n">
        <v>3</v>
      </c>
      <c r="AD629" t="n">
        <v>22</v>
      </c>
      <c r="AE629" t="n">
        <v>23</v>
      </c>
      <c r="AF629" t="n">
        <v>7</v>
      </c>
      <c r="AG629" t="n">
        <v>7</v>
      </c>
      <c r="AH629" t="n">
        <v>5</v>
      </c>
      <c r="AI629" t="n">
        <v>6</v>
      </c>
      <c r="AJ629" t="n">
        <v>12</v>
      </c>
      <c r="AK629" t="n">
        <v>12</v>
      </c>
      <c r="AL629" t="n">
        <v>2</v>
      </c>
      <c r="AM629" t="n">
        <v>2</v>
      </c>
      <c r="AN629" t="n">
        <v>0</v>
      </c>
      <c r="AO629" t="n">
        <v>0</v>
      </c>
      <c r="AP629" t="inlineStr">
        <is>
          <t>No</t>
        </is>
      </c>
      <c r="AQ629" t="inlineStr">
        <is>
          <t>Yes</t>
        </is>
      </c>
      <c r="AR629">
        <f>HYPERLINK("http://catalog.hathitrust.org/Record/000238439","HathiTrust Record")</f>
        <v/>
      </c>
      <c r="AS629">
        <f>HYPERLINK("https://creighton-primo.hosted.exlibrisgroup.com/primo-explore/search?tab=default_tab&amp;search_scope=EVERYTHING&amp;vid=01CRU&amp;lang=en_US&amp;offset=0&amp;query=any,contains,991003203899702656","Catalog Record")</f>
        <v/>
      </c>
      <c r="AT629">
        <f>HYPERLINK("http://www.worldcat.org/oclc/728826","WorldCat Record")</f>
        <v/>
      </c>
      <c r="AU629" t="inlineStr">
        <is>
          <t>4535710341:eng</t>
        </is>
      </c>
      <c r="AV629" t="inlineStr">
        <is>
          <t>728826</t>
        </is>
      </c>
      <c r="AW629" t="inlineStr">
        <is>
          <t>991003203899702656</t>
        </is>
      </c>
      <c r="AX629" t="inlineStr">
        <is>
          <t>991003203899702656</t>
        </is>
      </c>
      <c r="AY629" t="inlineStr">
        <is>
          <t>2263169370002656</t>
        </is>
      </c>
      <c r="AZ629" t="inlineStr">
        <is>
          <t>BOOK</t>
        </is>
      </c>
      <c r="BC629" t="inlineStr">
        <is>
          <t>32285001773802</t>
        </is>
      </c>
      <c r="BD629" t="inlineStr">
        <is>
          <t>893530932</t>
        </is>
      </c>
    </row>
    <row r="630">
      <c r="A630" t="inlineStr">
        <is>
          <t>No</t>
        </is>
      </c>
      <c r="B630" t="inlineStr">
        <is>
          <t>QD251 .R62</t>
        </is>
      </c>
      <c r="C630" t="inlineStr">
        <is>
          <t>0                      QD 0251000R  62</t>
        </is>
      </c>
      <c r="D630" t="inlineStr">
        <is>
          <t>Rodd's Chemistry of carbon compounds; a modern comprehensive treatise.</t>
        </is>
      </c>
      <c r="E630" t="inlineStr">
        <is>
          <t>V.2 PT.E</t>
        </is>
      </c>
      <c r="F630" t="inlineStr">
        <is>
          <t>Yes</t>
        </is>
      </c>
      <c r="G630" t="inlineStr">
        <is>
          <t>1</t>
        </is>
      </c>
      <c r="H630" t="inlineStr">
        <is>
          <t>No</t>
        </is>
      </c>
      <c r="I630" t="inlineStr">
        <is>
          <t>No</t>
        </is>
      </c>
      <c r="J630" t="inlineStr">
        <is>
          <t>0</t>
        </is>
      </c>
      <c r="K630" t="inlineStr">
        <is>
          <t>Rodd, E. H., editor.</t>
        </is>
      </c>
      <c r="L630" t="inlineStr">
        <is>
          <t>Amsterdam, New York, Elsevier Pub. Co., 1964-</t>
        </is>
      </c>
      <c r="M630" t="inlineStr">
        <is>
          <t>1964</t>
        </is>
      </c>
      <c r="N630" t="inlineStr">
        <is>
          <t>2d ed., edited by S. Coffey.</t>
        </is>
      </c>
      <c r="O630" t="inlineStr">
        <is>
          <t>eng</t>
        </is>
      </c>
      <c r="P630" t="inlineStr">
        <is>
          <t xml:space="preserve">ne </t>
        </is>
      </c>
      <c r="R630" t="inlineStr">
        <is>
          <t xml:space="preserve">QD </t>
        </is>
      </c>
      <c r="S630" t="n">
        <v>0</v>
      </c>
      <c r="T630" t="n">
        <v>23</v>
      </c>
      <c r="V630" t="inlineStr">
        <is>
          <t>1997-02-14</t>
        </is>
      </c>
      <c r="W630" t="inlineStr">
        <is>
          <t>1993-10-06</t>
        </is>
      </c>
      <c r="X630" t="inlineStr">
        <is>
          <t>1993-10-06</t>
        </is>
      </c>
      <c r="Y630" t="n">
        <v>671</v>
      </c>
      <c r="Z630" t="n">
        <v>551</v>
      </c>
      <c r="AA630" t="n">
        <v>586</v>
      </c>
      <c r="AB630" t="n">
        <v>3</v>
      </c>
      <c r="AC630" t="n">
        <v>3</v>
      </c>
      <c r="AD630" t="n">
        <v>22</v>
      </c>
      <c r="AE630" t="n">
        <v>23</v>
      </c>
      <c r="AF630" t="n">
        <v>7</v>
      </c>
      <c r="AG630" t="n">
        <v>7</v>
      </c>
      <c r="AH630" t="n">
        <v>5</v>
      </c>
      <c r="AI630" t="n">
        <v>6</v>
      </c>
      <c r="AJ630" t="n">
        <v>12</v>
      </c>
      <c r="AK630" t="n">
        <v>12</v>
      </c>
      <c r="AL630" t="n">
        <v>2</v>
      </c>
      <c r="AM630" t="n">
        <v>2</v>
      </c>
      <c r="AN630" t="n">
        <v>0</v>
      </c>
      <c r="AO630" t="n">
        <v>0</v>
      </c>
      <c r="AP630" t="inlineStr">
        <is>
          <t>No</t>
        </is>
      </c>
      <c r="AQ630" t="inlineStr">
        <is>
          <t>Yes</t>
        </is>
      </c>
      <c r="AR630">
        <f>HYPERLINK("http://catalog.hathitrust.org/Record/000238439","HathiTrust Record")</f>
        <v/>
      </c>
      <c r="AS630">
        <f>HYPERLINK("https://creighton-primo.hosted.exlibrisgroup.com/primo-explore/search?tab=default_tab&amp;search_scope=EVERYTHING&amp;vid=01CRU&amp;lang=en_US&amp;offset=0&amp;query=any,contains,991003203899702656","Catalog Record")</f>
        <v/>
      </c>
      <c r="AT630">
        <f>HYPERLINK("http://www.worldcat.org/oclc/728826","WorldCat Record")</f>
        <v/>
      </c>
      <c r="AU630" t="inlineStr">
        <is>
          <t>4535710341:eng</t>
        </is>
      </c>
      <c r="AV630" t="inlineStr">
        <is>
          <t>728826</t>
        </is>
      </c>
      <c r="AW630" t="inlineStr">
        <is>
          <t>991003203899702656</t>
        </is>
      </c>
      <c r="AX630" t="inlineStr">
        <is>
          <t>991003203899702656</t>
        </is>
      </c>
      <c r="AY630" t="inlineStr">
        <is>
          <t>2263169370002656</t>
        </is>
      </c>
      <c r="AZ630" t="inlineStr">
        <is>
          <t>BOOK</t>
        </is>
      </c>
      <c r="BC630" t="inlineStr">
        <is>
          <t>32285001773646</t>
        </is>
      </c>
      <c r="BD630" t="inlineStr">
        <is>
          <t>893505316</t>
        </is>
      </c>
    </row>
    <row r="631">
      <c r="A631" t="inlineStr">
        <is>
          <t>No</t>
        </is>
      </c>
      <c r="B631" t="inlineStr">
        <is>
          <t>QD251 .R62</t>
        </is>
      </c>
      <c r="C631" t="inlineStr">
        <is>
          <t>0                      QD 0251000R  62</t>
        </is>
      </c>
      <c r="D631" t="inlineStr">
        <is>
          <t>Rodd's Chemistry of carbon compounds; a modern comprehensive treatise.</t>
        </is>
      </c>
      <c r="E631" t="inlineStr">
        <is>
          <t>V.1 PT.B</t>
        </is>
      </c>
      <c r="F631" t="inlineStr">
        <is>
          <t>Yes</t>
        </is>
      </c>
      <c r="G631" t="inlineStr">
        <is>
          <t>1</t>
        </is>
      </c>
      <c r="H631" t="inlineStr">
        <is>
          <t>No</t>
        </is>
      </c>
      <c r="I631" t="inlineStr">
        <is>
          <t>No</t>
        </is>
      </c>
      <c r="J631" t="inlineStr">
        <is>
          <t>0</t>
        </is>
      </c>
      <c r="K631" t="inlineStr">
        <is>
          <t>Rodd, E. H., editor.</t>
        </is>
      </c>
      <c r="L631" t="inlineStr">
        <is>
          <t>Amsterdam, New York, Elsevier Pub. Co., 1964-</t>
        </is>
      </c>
      <c r="M631" t="inlineStr">
        <is>
          <t>1964</t>
        </is>
      </c>
      <c r="N631" t="inlineStr">
        <is>
          <t>2d ed., edited by S. Coffey.</t>
        </is>
      </c>
      <c r="O631" t="inlineStr">
        <is>
          <t>eng</t>
        </is>
      </c>
      <c r="P631" t="inlineStr">
        <is>
          <t xml:space="preserve">ne </t>
        </is>
      </c>
      <c r="R631" t="inlineStr">
        <is>
          <t xml:space="preserve">QD </t>
        </is>
      </c>
      <c r="S631" t="n">
        <v>1</v>
      </c>
      <c r="T631" t="n">
        <v>23</v>
      </c>
      <c r="V631" t="inlineStr">
        <is>
          <t>1997-02-14</t>
        </is>
      </c>
      <c r="W631" t="inlineStr">
        <is>
          <t>1993-10-06</t>
        </is>
      </c>
      <c r="X631" t="inlineStr">
        <is>
          <t>1993-10-06</t>
        </is>
      </c>
      <c r="Y631" t="n">
        <v>671</v>
      </c>
      <c r="Z631" t="n">
        <v>551</v>
      </c>
      <c r="AA631" t="n">
        <v>586</v>
      </c>
      <c r="AB631" t="n">
        <v>3</v>
      </c>
      <c r="AC631" t="n">
        <v>3</v>
      </c>
      <c r="AD631" t="n">
        <v>22</v>
      </c>
      <c r="AE631" t="n">
        <v>23</v>
      </c>
      <c r="AF631" t="n">
        <v>7</v>
      </c>
      <c r="AG631" t="n">
        <v>7</v>
      </c>
      <c r="AH631" t="n">
        <v>5</v>
      </c>
      <c r="AI631" t="n">
        <v>6</v>
      </c>
      <c r="AJ631" t="n">
        <v>12</v>
      </c>
      <c r="AK631" t="n">
        <v>12</v>
      </c>
      <c r="AL631" t="n">
        <v>2</v>
      </c>
      <c r="AM631" t="n">
        <v>2</v>
      </c>
      <c r="AN631" t="n">
        <v>0</v>
      </c>
      <c r="AO631" t="n">
        <v>0</v>
      </c>
      <c r="AP631" t="inlineStr">
        <is>
          <t>No</t>
        </is>
      </c>
      <c r="AQ631" t="inlineStr">
        <is>
          <t>Yes</t>
        </is>
      </c>
      <c r="AR631">
        <f>HYPERLINK("http://catalog.hathitrust.org/Record/000238439","HathiTrust Record")</f>
        <v/>
      </c>
      <c r="AS631">
        <f>HYPERLINK("https://creighton-primo.hosted.exlibrisgroup.com/primo-explore/search?tab=default_tab&amp;search_scope=EVERYTHING&amp;vid=01CRU&amp;lang=en_US&amp;offset=0&amp;query=any,contains,991003203899702656","Catalog Record")</f>
        <v/>
      </c>
      <c r="AT631">
        <f>HYPERLINK("http://www.worldcat.org/oclc/728826","WorldCat Record")</f>
        <v/>
      </c>
      <c r="AU631" t="inlineStr">
        <is>
          <t>4535710341:eng</t>
        </is>
      </c>
      <c r="AV631" t="inlineStr">
        <is>
          <t>728826</t>
        </is>
      </c>
      <c r="AW631" t="inlineStr">
        <is>
          <t>991003203899702656</t>
        </is>
      </c>
      <c r="AX631" t="inlineStr">
        <is>
          <t>991003203899702656</t>
        </is>
      </c>
      <c r="AY631" t="inlineStr">
        <is>
          <t>2263169370002656</t>
        </is>
      </c>
      <c r="AZ631" t="inlineStr">
        <is>
          <t>BOOK</t>
        </is>
      </c>
      <c r="BC631" t="inlineStr">
        <is>
          <t>32285001773513</t>
        </is>
      </c>
      <c r="BD631" t="inlineStr">
        <is>
          <t>893530935</t>
        </is>
      </c>
    </row>
    <row r="632">
      <c r="A632" t="inlineStr">
        <is>
          <t>No</t>
        </is>
      </c>
      <c r="B632" t="inlineStr">
        <is>
          <t>QD251 .R62</t>
        </is>
      </c>
      <c r="C632" t="inlineStr">
        <is>
          <t>0                      QD 0251000R  62</t>
        </is>
      </c>
      <c r="D632" t="inlineStr">
        <is>
          <t>Rodd's Chemistry of carbon compounds; a modern comprehensive treatise.</t>
        </is>
      </c>
      <c r="E632" t="inlineStr">
        <is>
          <t>V.3 PT.A</t>
        </is>
      </c>
      <c r="F632" t="inlineStr">
        <is>
          <t>Yes</t>
        </is>
      </c>
      <c r="G632" t="inlineStr">
        <is>
          <t>1</t>
        </is>
      </c>
      <c r="H632" t="inlineStr">
        <is>
          <t>Yes</t>
        </is>
      </c>
      <c r="I632" t="inlineStr">
        <is>
          <t>No</t>
        </is>
      </c>
      <c r="J632" t="inlineStr">
        <is>
          <t>0</t>
        </is>
      </c>
      <c r="K632" t="inlineStr">
        <is>
          <t>Rodd, E. H., editor.</t>
        </is>
      </c>
      <c r="L632" t="inlineStr">
        <is>
          <t>Amsterdam, New York, Elsevier Pub. Co., 1964-</t>
        </is>
      </c>
      <c r="M632" t="inlineStr">
        <is>
          <t>1964</t>
        </is>
      </c>
      <c r="N632" t="inlineStr">
        <is>
          <t>2d ed., edited by S. Coffey.</t>
        </is>
      </c>
      <c r="O632" t="inlineStr">
        <is>
          <t>eng</t>
        </is>
      </c>
      <c r="P632" t="inlineStr">
        <is>
          <t xml:space="preserve">ne </t>
        </is>
      </c>
      <c r="R632" t="inlineStr">
        <is>
          <t xml:space="preserve">QD </t>
        </is>
      </c>
      <c r="S632" t="n">
        <v>6</v>
      </c>
      <c r="T632" t="n">
        <v>23</v>
      </c>
      <c r="U632" t="inlineStr">
        <is>
          <t>1997-02-14</t>
        </is>
      </c>
      <c r="V632" t="inlineStr">
        <is>
          <t>1997-02-14</t>
        </is>
      </c>
      <c r="W632" t="inlineStr">
        <is>
          <t>1993-10-06</t>
        </is>
      </c>
      <c r="X632" t="inlineStr">
        <is>
          <t>1993-10-06</t>
        </is>
      </c>
      <c r="Y632" t="n">
        <v>671</v>
      </c>
      <c r="Z632" t="n">
        <v>551</v>
      </c>
      <c r="AA632" t="n">
        <v>586</v>
      </c>
      <c r="AB632" t="n">
        <v>3</v>
      </c>
      <c r="AC632" t="n">
        <v>3</v>
      </c>
      <c r="AD632" t="n">
        <v>22</v>
      </c>
      <c r="AE632" t="n">
        <v>23</v>
      </c>
      <c r="AF632" t="n">
        <v>7</v>
      </c>
      <c r="AG632" t="n">
        <v>7</v>
      </c>
      <c r="AH632" t="n">
        <v>5</v>
      </c>
      <c r="AI632" t="n">
        <v>6</v>
      </c>
      <c r="AJ632" t="n">
        <v>12</v>
      </c>
      <c r="AK632" t="n">
        <v>12</v>
      </c>
      <c r="AL632" t="n">
        <v>2</v>
      </c>
      <c r="AM632" t="n">
        <v>2</v>
      </c>
      <c r="AN632" t="n">
        <v>0</v>
      </c>
      <c r="AO632" t="n">
        <v>0</v>
      </c>
      <c r="AP632" t="inlineStr">
        <is>
          <t>No</t>
        </is>
      </c>
      <c r="AQ632" t="inlineStr">
        <is>
          <t>Yes</t>
        </is>
      </c>
      <c r="AR632">
        <f>HYPERLINK("http://catalog.hathitrust.org/Record/000238439","HathiTrust Record")</f>
        <v/>
      </c>
      <c r="AS632">
        <f>HYPERLINK("https://creighton-primo.hosted.exlibrisgroup.com/primo-explore/search?tab=default_tab&amp;search_scope=EVERYTHING&amp;vid=01CRU&amp;lang=en_US&amp;offset=0&amp;query=any,contains,991003203899702656","Catalog Record")</f>
        <v/>
      </c>
      <c r="AT632">
        <f>HYPERLINK("http://www.worldcat.org/oclc/728826","WorldCat Record")</f>
        <v/>
      </c>
      <c r="AU632" t="inlineStr">
        <is>
          <t>4535710341:eng</t>
        </is>
      </c>
      <c r="AV632" t="inlineStr">
        <is>
          <t>728826</t>
        </is>
      </c>
      <c r="AW632" t="inlineStr">
        <is>
          <t>991003203899702656</t>
        </is>
      </c>
      <c r="AX632" t="inlineStr">
        <is>
          <t>991003203899702656</t>
        </is>
      </c>
      <c r="AY632" t="inlineStr">
        <is>
          <t>2263169370002656</t>
        </is>
      </c>
      <c r="AZ632" t="inlineStr">
        <is>
          <t>BOOK</t>
        </is>
      </c>
      <c r="BC632" t="inlineStr">
        <is>
          <t>32285001773661</t>
        </is>
      </c>
      <c r="BD632" t="inlineStr">
        <is>
          <t>893524541</t>
        </is>
      </c>
    </row>
    <row r="633">
      <c r="A633" t="inlineStr">
        <is>
          <t>No</t>
        </is>
      </c>
      <c r="B633" t="inlineStr">
        <is>
          <t>QD251 .R62</t>
        </is>
      </c>
      <c r="C633" t="inlineStr">
        <is>
          <t>0                      QD 0251000R  62</t>
        </is>
      </c>
      <c r="D633" t="inlineStr">
        <is>
          <t>Rodd's Chemistry of carbon compounds; a modern comprehensive treatise.</t>
        </is>
      </c>
      <c r="E633" t="inlineStr">
        <is>
          <t>V.3 PT.B</t>
        </is>
      </c>
      <c r="F633" t="inlineStr">
        <is>
          <t>Yes</t>
        </is>
      </c>
      <c r="G633" t="inlineStr">
        <is>
          <t>1</t>
        </is>
      </c>
      <c r="H633" t="inlineStr">
        <is>
          <t>No</t>
        </is>
      </c>
      <c r="I633" t="inlineStr">
        <is>
          <t>No</t>
        </is>
      </c>
      <c r="J633" t="inlineStr">
        <is>
          <t>0</t>
        </is>
      </c>
      <c r="K633" t="inlineStr">
        <is>
          <t>Rodd, E. H., editor.</t>
        </is>
      </c>
      <c r="L633" t="inlineStr">
        <is>
          <t>Amsterdam, New York, Elsevier Pub. Co., 1964-</t>
        </is>
      </c>
      <c r="M633" t="inlineStr">
        <is>
          <t>1964</t>
        </is>
      </c>
      <c r="N633" t="inlineStr">
        <is>
          <t>2d ed., edited by S. Coffey.</t>
        </is>
      </c>
      <c r="O633" t="inlineStr">
        <is>
          <t>eng</t>
        </is>
      </c>
      <c r="P633" t="inlineStr">
        <is>
          <t xml:space="preserve">ne </t>
        </is>
      </c>
      <c r="R633" t="inlineStr">
        <is>
          <t xml:space="preserve">QD </t>
        </is>
      </c>
      <c r="S633" t="n">
        <v>6</v>
      </c>
      <c r="T633" t="n">
        <v>23</v>
      </c>
      <c r="U633" t="inlineStr">
        <is>
          <t>1997-02-14</t>
        </is>
      </c>
      <c r="V633" t="inlineStr">
        <is>
          <t>1997-02-14</t>
        </is>
      </c>
      <c r="W633" t="inlineStr">
        <is>
          <t>1993-10-06</t>
        </is>
      </c>
      <c r="X633" t="inlineStr">
        <is>
          <t>1993-10-06</t>
        </is>
      </c>
      <c r="Y633" t="n">
        <v>671</v>
      </c>
      <c r="Z633" t="n">
        <v>551</v>
      </c>
      <c r="AA633" t="n">
        <v>586</v>
      </c>
      <c r="AB633" t="n">
        <v>3</v>
      </c>
      <c r="AC633" t="n">
        <v>3</v>
      </c>
      <c r="AD633" t="n">
        <v>22</v>
      </c>
      <c r="AE633" t="n">
        <v>23</v>
      </c>
      <c r="AF633" t="n">
        <v>7</v>
      </c>
      <c r="AG633" t="n">
        <v>7</v>
      </c>
      <c r="AH633" t="n">
        <v>5</v>
      </c>
      <c r="AI633" t="n">
        <v>6</v>
      </c>
      <c r="AJ633" t="n">
        <v>12</v>
      </c>
      <c r="AK633" t="n">
        <v>12</v>
      </c>
      <c r="AL633" t="n">
        <v>2</v>
      </c>
      <c r="AM633" t="n">
        <v>2</v>
      </c>
      <c r="AN633" t="n">
        <v>0</v>
      </c>
      <c r="AO633" t="n">
        <v>0</v>
      </c>
      <c r="AP633" t="inlineStr">
        <is>
          <t>No</t>
        </is>
      </c>
      <c r="AQ633" t="inlineStr">
        <is>
          <t>Yes</t>
        </is>
      </c>
      <c r="AR633">
        <f>HYPERLINK("http://catalog.hathitrust.org/Record/000238439","HathiTrust Record")</f>
        <v/>
      </c>
      <c r="AS633">
        <f>HYPERLINK("https://creighton-primo.hosted.exlibrisgroup.com/primo-explore/search?tab=default_tab&amp;search_scope=EVERYTHING&amp;vid=01CRU&amp;lang=en_US&amp;offset=0&amp;query=any,contains,991003203899702656","Catalog Record")</f>
        <v/>
      </c>
      <c r="AT633">
        <f>HYPERLINK("http://www.worldcat.org/oclc/728826","WorldCat Record")</f>
        <v/>
      </c>
      <c r="AU633" t="inlineStr">
        <is>
          <t>4535710341:eng</t>
        </is>
      </c>
      <c r="AV633" t="inlineStr">
        <is>
          <t>728826</t>
        </is>
      </c>
      <c r="AW633" t="inlineStr">
        <is>
          <t>991003203899702656</t>
        </is>
      </c>
      <c r="AX633" t="inlineStr">
        <is>
          <t>991003203899702656</t>
        </is>
      </c>
      <c r="AY633" t="inlineStr">
        <is>
          <t>2263169370002656</t>
        </is>
      </c>
      <c r="AZ633" t="inlineStr">
        <is>
          <t>BOOK</t>
        </is>
      </c>
      <c r="BC633" t="inlineStr">
        <is>
          <t>32285001773679</t>
        </is>
      </c>
      <c r="BD633" t="inlineStr">
        <is>
          <t>893505324</t>
        </is>
      </c>
    </row>
    <row r="634">
      <c r="A634" t="inlineStr">
        <is>
          <t>No</t>
        </is>
      </c>
      <c r="B634" t="inlineStr">
        <is>
          <t>QD251 .R62</t>
        </is>
      </c>
      <c r="C634" t="inlineStr">
        <is>
          <t>0                      QD 0251000R  62</t>
        </is>
      </c>
      <c r="D634" t="inlineStr">
        <is>
          <t>Rodd's Chemistry of carbon compounds; a modern comprehensive treatise.</t>
        </is>
      </c>
      <c r="E634" t="inlineStr">
        <is>
          <t>V.3 PT.B-C</t>
        </is>
      </c>
      <c r="F634" t="inlineStr">
        <is>
          <t>Yes</t>
        </is>
      </c>
      <c r="G634" t="inlineStr">
        <is>
          <t>1</t>
        </is>
      </c>
      <c r="H634" t="inlineStr">
        <is>
          <t>No</t>
        </is>
      </c>
      <c r="I634" t="inlineStr">
        <is>
          <t>No</t>
        </is>
      </c>
      <c r="J634" t="inlineStr">
        <is>
          <t>0</t>
        </is>
      </c>
      <c r="K634" t="inlineStr">
        <is>
          <t>Rodd, E. H., editor.</t>
        </is>
      </c>
      <c r="L634" t="inlineStr">
        <is>
          <t>Amsterdam, New York, Elsevier Pub. Co., 1964-</t>
        </is>
      </c>
      <c r="M634" t="inlineStr">
        <is>
          <t>1964</t>
        </is>
      </c>
      <c r="N634" t="inlineStr">
        <is>
          <t>2d ed., edited by S. Coffey.</t>
        </is>
      </c>
      <c r="O634" t="inlineStr">
        <is>
          <t>eng</t>
        </is>
      </c>
      <c r="P634" t="inlineStr">
        <is>
          <t xml:space="preserve">ne </t>
        </is>
      </c>
      <c r="R634" t="inlineStr">
        <is>
          <t xml:space="preserve">QD </t>
        </is>
      </c>
      <c r="S634" t="n">
        <v>1</v>
      </c>
      <c r="T634" t="n">
        <v>23</v>
      </c>
      <c r="V634" t="inlineStr">
        <is>
          <t>1997-02-14</t>
        </is>
      </c>
      <c r="W634" t="inlineStr">
        <is>
          <t>1993-10-06</t>
        </is>
      </c>
      <c r="X634" t="inlineStr">
        <is>
          <t>1993-10-06</t>
        </is>
      </c>
      <c r="Y634" t="n">
        <v>671</v>
      </c>
      <c r="Z634" t="n">
        <v>551</v>
      </c>
      <c r="AA634" t="n">
        <v>586</v>
      </c>
      <c r="AB634" t="n">
        <v>3</v>
      </c>
      <c r="AC634" t="n">
        <v>3</v>
      </c>
      <c r="AD634" t="n">
        <v>22</v>
      </c>
      <c r="AE634" t="n">
        <v>23</v>
      </c>
      <c r="AF634" t="n">
        <v>7</v>
      </c>
      <c r="AG634" t="n">
        <v>7</v>
      </c>
      <c r="AH634" t="n">
        <v>5</v>
      </c>
      <c r="AI634" t="n">
        <v>6</v>
      </c>
      <c r="AJ634" t="n">
        <v>12</v>
      </c>
      <c r="AK634" t="n">
        <v>12</v>
      </c>
      <c r="AL634" t="n">
        <v>2</v>
      </c>
      <c r="AM634" t="n">
        <v>2</v>
      </c>
      <c r="AN634" t="n">
        <v>0</v>
      </c>
      <c r="AO634" t="n">
        <v>0</v>
      </c>
      <c r="AP634" t="inlineStr">
        <is>
          <t>No</t>
        </is>
      </c>
      <c r="AQ634" t="inlineStr">
        <is>
          <t>Yes</t>
        </is>
      </c>
      <c r="AR634">
        <f>HYPERLINK("http://catalog.hathitrust.org/Record/000238439","HathiTrust Record")</f>
        <v/>
      </c>
      <c r="AS634">
        <f>HYPERLINK("https://creighton-primo.hosted.exlibrisgroup.com/primo-explore/search?tab=default_tab&amp;search_scope=EVERYTHING&amp;vid=01CRU&amp;lang=en_US&amp;offset=0&amp;query=any,contains,991003203899702656","Catalog Record")</f>
        <v/>
      </c>
      <c r="AT634">
        <f>HYPERLINK("http://www.worldcat.org/oclc/728826","WorldCat Record")</f>
        <v/>
      </c>
      <c r="AU634" t="inlineStr">
        <is>
          <t>4535710341:eng</t>
        </is>
      </c>
      <c r="AV634" t="inlineStr">
        <is>
          <t>728826</t>
        </is>
      </c>
      <c r="AW634" t="inlineStr">
        <is>
          <t>991003203899702656</t>
        </is>
      </c>
      <c r="AX634" t="inlineStr">
        <is>
          <t>991003203899702656</t>
        </is>
      </c>
      <c r="AY634" t="inlineStr">
        <is>
          <t>2263169370002656</t>
        </is>
      </c>
      <c r="AZ634" t="inlineStr">
        <is>
          <t>BOOK</t>
        </is>
      </c>
      <c r="BC634" t="inlineStr">
        <is>
          <t>32285001773695</t>
        </is>
      </c>
      <c r="BD634" t="inlineStr">
        <is>
          <t>893499046</t>
        </is>
      </c>
    </row>
    <row r="635">
      <c r="A635" t="inlineStr">
        <is>
          <t>No</t>
        </is>
      </c>
      <c r="B635" t="inlineStr">
        <is>
          <t>QD251 .R62</t>
        </is>
      </c>
      <c r="C635" t="inlineStr">
        <is>
          <t>0                      QD 0251000R  62</t>
        </is>
      </c>
      <c r="D635" t="inlineStr">
        <is>
          <t>Rodd's Chemistry of carbon compounds; a modern comprehensive treatise.</t>
        </is>
      </c>
      <c r="E635" t="inlineStr">
        <is>
          <t>V.1 PT.C-D</t>
        </is>
      </c>
      <c r="F635" t="inlineStr">
        <is>
          <t>Yes</t>
        </is>
      </c>
      <c r="G635" t="inlineStr">
        <is>
          <t>1</t>
        </is>
      </c>
      <c r="H635" t="inlineStr">
        <is>
          <t>No</t>
        </is>
      </c>
      <c r="I635" t="inlineStr">
        <is>
          <t>No</t>
        </is>
      </c>
      <c r="J635" t="inlineStr">
        <is>
          <t>0</t>
        </is>
      </c>
      <c r="K635" t="inlineStr">
        <is>
          <t>Rodd, E. H., editor.</t>
        </is>
      </c>
      <c r="L635" t="inlineStr">
        <is>
          <t>Amsterdam, New York, Elsevier Pub. Co., 1964-</t>
        </is>
      </c>
      <c r="M635" t="inlineStr">
        <is>
          <t>1964</t>
        </is>
      </c>
      <c r="N635" t="inlineStr">
        <is>
          <t>2d ed., edited by S. Coffey.</t>
        </is>
      </c>
      <c r="O635" t="inlineStr">
        <is>
          <t>eng</t>
        </is>
      </c>
      <c r="P635" t="inlineStr">
        <is>
          <t xml:space="preserve">ne </t>
        </is>
      </c>
      <c r="R635" t="inlineStr">
        <is>
          <t xml:space="preserve">QD </t>
        </is>
      </c>
      <c r="S635" t="n">
        <v>2</v>
      </c>
      <c r="T635" t="n">
        <v>23</v>
      </c>
      <c r="U635" t="inlineStr">
        <is>
          <t>1994-06-03</t>
        </is>
      </c>
      <c r="V635" t="inlineStr">
        <is>
          <t>1997-02-14</t>
        </is>
      </c>
      <c r="W635" t="inlineStr">
        <is>
          <t>1993-10-06</t>
        </is>
      </c>
      <c r="X635" t="inlineStr">
        <is>
          <t>1993-10-06</t>
        </is>
      </c>
      <c r="Y635" t="n">
        <v>671</v>
      </c>
      <c r="Z635" t="n">
        <v>551</v>
      </c>
      <c r="AA635" t="n">
        <v>586</v>
      </c>
      <c r="AB635" t="n">
        <v>3</v>
      </c>
      <c r="AC635" t="n">
        <v>3</v>
      </c>
      <c r="AD635" t="n">
        <v>22</v>
      </c>
      <c r="AE635" t="n">
        <v>23</v>
      </c>
      <c r="AF635" t="n">
        <v>7</v>
      </c>
      <c r="AG635" t="n">
        <v>7</v>
      </c>
      <c r="AH635" t="n">
        <v>5</v>
      </c>
      <c r="AI635" t="n">
        <v>6</v>
      </c>
      <c r="AJ635" t="n">
        <v>12</v>
      </c>
      <c r="AK635" t="n">
        <v>12</v>
      </c>
      <c r="AL635" t="n">
        <v>2</v>
      </c>
      <c r="AM635" t="n">
        <v>2</v>
      </c>
      <c r="AN635" t="n">
        <v>0</v>
      </c>
      <c r="AO635" t="n">
        <v>0</v>
      </c>
      <c r="AP635" t="inlineStr">
        <is>
          <t>No</t>
        </is>
      </c>
      <c r="AQ635" t="inlineStr">
        <is>
          <t>Yes</t>
        </is>
      </c>
      <c r="AR635">
        <f>HYPERLINK("http://catalog.hathitrust.org/Record/000238439","HathiTrust Record")</f>
        <v/>
      </c>
      <c r="AS635">
        <f>HYPERLINK("https://creighton-primo.hosted.exlibrisgroup.com/primo-explore/search?tab=default_tab&amp;search_scope=EVERYTHING&amp;vid=01CRU&amp;lang=en_US&amp;offset=0&amp;query=any,contains,991003203899702656","Catalog Record")</f>
        <v/>
      </c>
      <c r="AT635">
        <f>HYPERLINK("http://www.worldcat.org/oclc/728826","WorldCat Record")</f>
        <v/>
      </c>
      <c r="AU635" t="inlineStr">
        <is>
          <t>4535710341:eng</t>
        </is>
      </c>
      <c r="AV635" t="inlineStr">
        <is>
          <t>728826</t>
        </is>
      </c>
      <c r="AW635" t="inlineStr">
        <is>
          <t>991003203899702656</t>
        </is>
      </c>
      <c r="AX635" t="inlineStr">
        <is>
          <t>991003203899702656</t>
        </is>
      </c>
      <c r="AY635" t="inlineStr">
        <is>
          <t>2263169370002656</t>
        </is>
      </c>
      <c r="AZ635" t="inlineStr">
        <is>
          <t>BOOK</t>
        </is>
      </c>
      <c r="BC635" t="inlineStr">
        <is>
          <t>32285001773554</t>
        </is>
      </c>
      <c r="BD635" t="inlineStr">
        <is>
          <t>893530936</t>
        </is>
      </c>
    </row>
    <row r="636">
      <c r="A636" t="inlineStr">
        <is>
          <t>No</t>
        </is>
      </c>
      <c r="B636" t="inlineStr">
        <is>
          <t>QD251 .R62</t>
        </is>
      </c>
      <c r="C636" t="inlineStr">
        <is>
          <t>0                      QD 0251000R  62</t>
        </is>
      </c>
      <c r="D636" t="inlineStr">
        <is>
          <t>Rodd's Chemistry of carbon compounds; a modern comprehensive treatise.</t>
        </is>
      </c>
      <c r="E636" t="inlineStr">
        <is>
          <t>V.4 PT.L</t>
        </is>
      </c>
      <c r="F636" t="inlineStr">
        <is>
          <t>Yes</t>
        </is>
      </c>
      <c r="G636" t="inlineStr">
        <is>
          <t>1</t>
        </is>
      </c>
      <c r="H636" t="inlineStr">
        <is>
          <t>No</t>
        </is>
      </c>
      <c r="I636" t="inlineStr">
        <is>
          <t>No</t>
        </is>
      </c>
      <c r="J636" t="inlineStr">
        <is>
          <t>0</t>
        </is>
      </c>
      <c r="K636" t="inlineStr">
        <is>
          <t>Rodd, E. H., editor.</t>
        </is>
      </c>
      <c r="L636" t="inlineStr">
        <is>
          <t>Amsterdam, New York, Elsevier Pub. Co., 1964-</t>
        </is>
      </c>
      <c r="M636" t="inlineStr">
        <is>
          <t>1964</t>
        </is>
      </c>
      <c r="N636" t="inlineStr">
        <is>
          <t>2d ed., edited by S. Coffey.</t>
        </is>
      </c>
      <c r="O636" t="inlineStr">
        <is>
          <t>eng</t>
        </is>
      </c>
      <c r="P636" t="inlineStr">
        <is>
          <t xml:space="preserve">ne </t>
        </is>
      </c>
      <c r="R636" t="inlineStr">
        <is>
          <t xml:space="preserve">QD </t>
        </is>
      </c>
      <c r="S636" t="n">
        <v>0</v>
      </c>
      <c r="T636" t="n">
        <v>23</v>
      </c>
      <c r="V636" t="inlineStr">
        <is>
          <t>1997-02-14</t>
        </is>
      </c>
      <c r="W636" t="inlineStr">
        <is>
          <t>1993-10-06</t>
        </is>
      </c>
      <c r="X636" t="inlineStr">
        <is>
          <t>1993-10-06</t>
        </is>
      </c>
      <c r="Y636" t="n">
        <v>671</v>
      </c>
      <c r="Z636" t="n">
        <v>551</v>
      </c>
      <c r="AA636" t="n">
        <v>586</v>
      </c>
      <c r="AB636" t="n">
        <v>3</v>
      </c>
      <c r="AC636" t="n">
        <v>3</v>
      </c>
      <c r="AD636" t="n">
        <v>22</v>
      </c>
      <c r="AE636" t="n">
        <v>23</v>
      </c>
      <c r="AF636" t="n">
        <v>7</v>
      </c>
      <c r="AG636" t="n">
        <v>7</v>
      </c>
      <c r="AH636" t="n">
        <v>5</v>
      </c>
      <c r="AI636" t="n">
        <v>6</v>
      </c>
      <c r="AJ636" t="n">
        <v>12</v>
      </c>
      <c r="AK636" t="n">
        <v>12</v>
      </c>
      <c r="AL636" t="n">
        <v>2</v>
      </c>
      <c r="AM636" t="n">
        <v>2</v>
      </c>
      <c r="AN636" t="n">
        <v>0</v>
      </c>
      <c r="AO636" t="n">
        <v>0</v>
      </c>
      <c r="AP636" t="inlineStr">
        <is>
          <t>No</t>
        </is>
      </c>
      <c r="AQ636" t="inlineStr">
        <is>
          <t>Yes</t>
        </is>
      </c>
      <c r="AR636">
        <f>HYPERLINK("http://catalog.hathitrust.org/Record/000238439","HathiTrust Record")</f>
        <v/>
      </c>
      <c r="AS636">
        <f>HYPERLINK("https://creighton-primo.hosted.exlibrisgroup.com/primo-explore/search?tab=default_tab&amp;search_scope=EVERYTHING&amp;vid=01CRU&amp;lang=en_US&amp;offset=0&amp;query=any,contains,991003203899702656","Catalog Record")</f>
        <v/>
      </c>
      <c r="AT636">
        <f>HYPERLINK("http://www.worldcat.org/oclc/728826","WorldCat Record")</f>
        <v/>
      </c>
      <c r="AU636" t="inlineStr">
        <is>
          <t>4535710341:eng</t>
        </is>
      </c>
      <c r="AV636" t="inlineStr">
        <is>
          <t>728826</t>
        </is>
      </c>
      <c r="AW636" t="inlineStr">
        <is>
          <t>991003203899702656</t>
        </is>
      </c>
      <c r="AX636" t="inlineStr">
        <is>
          <t>991003203899702656</t>
        </is>
      </c>
      <c r="AY636" t="inlineStr">
        <is>
          <t>2263169370002656</t>
        </is>
      </c>
      <c r="AZ636" t="inlineStr">
        <is>
          <t>BOOK</t>
        </is>
      </c>
      <c r="BC636" t="inlineStr">
        <is>
          <t>32285001773836</t>
        </is>
      </c>
      <c r="BD636" t="inlineStr">
        <is>
          <t>893511669</t>
        </is>
      </c>
    </row>
    <row r="637">
      <c r="A637" t="inlineStr">
        <is>
          <t>No</t>
        </is>
      </c>
      <c r="B637" t="inlineStr">
        <is>
          <t>QD251 .R62</t>
        </is>
      </c>
      <c r="C637" t="inlineStr">
        <is>
          <t>0                      QD 0251000R  62</t>
        </is>
      </c>
      <c r="D637" t="inlineStr">
        <is>
          <t>Rodd's Chemistry of carbon compounds; a modern comprehensive treatise.</t>
        </is>
      </c>
      <c r="E637" t="inlineStr">
        <is>
          <t>V.1 PT.C</t>
        </is>
      </c>
      <c r="F637" t="inlineStr">
        <is>
          <t>Yes</t>
        </is>
      </c>
      <c r="G637" t="inlineStr">
        <is>
          <t>1</t>
        </is>
      </c>
      <c r="H637" t="inlineStr">
        <is>
          <t>No</t>
        </is>
      </c>
      <c r="I637" t="inlineStr">
        <is>
          <t>No</t>
        </is>
      </c>
      <c r="J637" t="inlineStr">
        <is>
          <t>0</t>
        </is>
      </c>
      <c r="K637" t="inlineStr">
        <is>
          <t>Rodd, E. H., editor.</t>
        </is>
      </c>
      <c r="L637" t="inlineStr">
        <is>
          <t>Amsterdam, New York, Elsevier Pub. Co., 1964-</t>
        </is>
      </c>
      <c r="M637" t="inlineStr">
        <is>
          <t>1964</t>
        </is>
      </c>
      <c r="N637" t="inlineStr">
        <is>
          <t>2d ed., edited by S. Coffey.</t>
        </is>
      </c>
      <c r="O637" t="inlineStr">
        <is>
          <t>eng</t>
        </is>
      </c>
      <c r="P637" t="inlineStr">
        <is>
          <t xml:space="preserve">ne </t>
        </is>
      </c>
      <c r="R637" t="inlineStr">
        <is>
          <t xml:space="preserve">QD </t>
        </is>
      </c>
      <c r="S637" t="n">
        <v>0</v>
      </c>
      <c r="T637" t="n">
        <v>23</v>
      </c>
      <c r="V637" t="inlineStr">
        <is>
          <t>1997-02-14</t>
        </is>
      </c>
      <c r="W637" t="inlineStr">
        <is>
          <t>1993-10-06</t>
        </is>
      </c>
      <c r="X637" t="inlineStr">
        <is>
          <t>1993-10-06</t>
        </is>
      </c>
      <c r="Y637" t="n">
        <v>671</v>
      </c>
      <c r="Z637" t="n">
        <v>551</v>
      </c>
      <c r="AA637" t="n">
        <v>586</v>
      </c>
      <c r="AB637" t="n">
        <v>3</v>
      </c>
      <c r="AC637" t="n">
        <v>3</v>
      </c>
      <c r="AD637" t="n">
        <v>22</v>
      </c>
      <c r="AE637" t="n">
        <v>23</v>
      </c>
      <c r="AF637" t="n">
        <v>7</v>
      </c>
      <c r="AG637" t="n">
        <v>7</v>
      </c>
      <c r="AH637" t="n">
        <v>5</v>
      </c>
      <c r="AI637" t="n">
        <v>6</v>
      </c>
      <c r="AJ637" t="n">
        <v>12</v>
      </c>
      <c r="AK637" t="n">
        <v>12</v>
      </c>
      <c r="AL637" t="n">
        <v>2</v>
      </c>
      <c r="AM637" t="n">
        <v>2</v>
      </c>
      <c r="AN637" t="n">
        <v>0</v>
      </c>
      <c r="AO637" t="n">
        <v>0</v>
      </c>
      <c r="AP637" t="inlineStr">
        <is>
          <t>No</t>
        </is>
      </c>
      <c r="AQ637" t="inlineStr">
        <is>
          <t>Yes</t>
        </is>
      </c>
      <c r="AR637">
        <f>HYPERLINK("http://catalog.hathitrust.org/Record/000238439","HathiTrust Record")</f>
        <v/>
      </c>
      <c r="AS637">
        <f>HYPERLINK("https://creighton-primo.hosted.exlibrisgroup.com/primo-explore/search?tab=default_tab&amp;search_scope=EVERYTHING&amp;vid=01CRU&amp;lang=en_US&amp;offset=0&amp;query=any,contains,991003203899702656","Catalog Record")</f>
        <v/>
      </c>
      <c r="AT637">
        <f>HYPERLINK("http://www.worldcat.org/oclc/728826","WorldCat Record")</f>
        <v/>
      </c>
      <c r="AU637" t="inlineStr">
        <is>
          <t>4535710341:eng</t>
        </is>
      </c>
      <c r="AV637" t="inlineStr">
        <is>
          <t>728826</t>
        </is>
      </c>
      <c r="AW637" t="inlineStr">
        <is>
          <t>991003203899702656</t>
        </is>
      </c>
      <c r="AX637" t="inlineStr">
        <is>
          <t>991003203899702656</t>
        </is>
      </c>
      <c r="AY637" t="inlineStr">
        <is>
          <t>2263169370002656</t>
        </is>
      </c>
      <c r="AZ637" t="inlineStr">
        <is>
          <t>BOOK</t>
        </is>
      </c>
      <c r="BC637" t="inlineStr">
        <is>
          <t>32285001773539</t>
        </is>
      </c>
      <c r="BD637" t="inlineStr">
        <is>
          <t>893535379</t>
        </is>
      </c>
    </row>
    <row r="638">
      <c r="A638" t="inlineStr">
        <is>
          <t>No</t>
        </is>
      </c>
      <c r="B638" t="inlineStr">
        <is>
          <t>QD251 .R62</t>
        </is>
      </c>
      <c r="C638" t="inlineStr">
        <is>
          <t>0                      QD 0251000R  62</t>
        </is>
      </c>
      <c r="D638" t="inlineStr">
        <is>
          <t>Rodd's Chemistry of carbon compounds; a modern comprehensive treatise.</t>
        </is>
      </c>
      <c r="E638" t="inlineStr">
        <is>
          <t>V.1 PT.A</t>
        </is>
      </c>
      <c r="F638" t="inlineStr">
        <is>
          <t>Yes</t>
        </is>
      </c>
      <c r="G638" t="inlineStr">
        <is>
          <t>1</t>
        </is>
      </c>
      <c r="H638" t="inlineStr">
        <is>
          <t>No</t>
        </is>
      </c>
      <c r="I638" t="inlineStr">
        <is>
          <t>No</t>
        </is>
      </c>
      <c r="J638" t="inlineStr">
        <is>
          <t>0</t>
        </is>
      </c>
      <c r="K638" t="inlineStr">
        <is>
          <t>Rodd, E. H., editor.</t>
        </is>
      </c>
      <c r="L638" t="inlineStr">
        <is>
          <t>Amsterdam, New York, Elsevier Pub. Co., 1964-</t>
        </is>
      </c>
      <c r="M638" t="inlineStr">
        <is>
          <t>1964</t>
        </is>
      </c>
      <c r="N638" t="inlineStr">
        <is>
          <t>2d ed., edited by S. Coffey.</t>
        </is>
      </c>
      <c r="O638" t="inlineStr">
        <is>
          <t>eng</t>
        </is>
      </c>
      <c r="P638" t="inlineStr">
        <is>
          <t xml:space="preserve">ne </t>
        </is>
      </c>
      <c r="R638" t="inlineStr">
        <is>
          <t xml:space="preserve">QD </t>
        </is>
      </c>
      <c r="S638" t="n">
        <v>0</v>
      </c>
      <c r="T638" t="n">
        <v>23</v>
      </c>
      <c r="V638" t="inlineStr">
        <is>
          <t>1997-02-14</t>
        </is>
      </c>
      <c r="W638" t="inlineStr">
        <is>
          <t>1993-10-06</t>
        </is>
      </c>
      <c r="X638" t="inlineStr">
        <is>
          <t>1993-10-06</t>
        </is>
      </c>
      <c r="Y638" t="n">
        <v>671</v>
      </c>
      <c r="Z638" t="n">
        <v>551</v>
      </c>
      <c r="AA638" t="n">
        <v>586</v>
      </c>
      <c r="AB638" t="n">
        <v>3</v>
      </c>
      <c r="AC638" t="n">
        <v>3</v>
      </c>
      <c r="AD638" t="n">
        <v>22</v>
      </c>
      <c r="AE638" t="n">
        <v>23</v>
      </c>
      <c r="AF638" t="n">
        <v>7</v>
      </c>
      <c r="AG638" t="n">
        <v>7</v>
      </c>
      <c r="AH638" t="n">
        <v>5</v>
      </c>
      <c r="AI638" t="n">
        <v>6</v>
      </c>
      <c r="AJ638" t="n">
        <v>12</v>
      </c>
      <c r="AK638" t="n">
        <v>12</v>
      </c>
      <c r="AL638" t="n">
        <v>2</v>
      </c>
      <c r="AM638" t="n">
        <v>2</v>
      </c>
      <c r="AN638" t="n">
        <v>0</v>
      </c>
      <c r="AO638" t="n">
        <v>0</v>
      </c>
      <c r="AP638" t="inlineStr">
        <is>
          <t>No</t>
        </is>
      </c>
      <c r="AQ638" t="inlineStr">
        <is>
          <t>Yes</t>
        </is>
      </c>
      <c r="AR638">
        <f>HYPERLINK("http://catalog.hathitrust.org/Record/000238439","HathiTrust Record")</f>
        <v/>
      </c>
      <c r="AS638">
        <f>HYPERLINK("https://creighton-primo.hosted.exlibrisgroup.com/primo-explore/search?tab=default_tab&amp;search_scope=EVERYTHING&amp;vid=01CRU&amp;lang=en_US&amp;offset=0&amp;query=any,contains,991003203899702656","Catalog Record")</f>
        <v/>
      </c>
      <c r="AT638">
        <f>HYPERLINK("http://www.worldcat.org/oclc/728826","WorldCat Record")</f>
        <v/>
      </c>
      <c r="AU638" t="inlineStr">
        <is>
          <t>4535710341:eng</t>
        </is>
      </c>
      <c r="AV638" t="inlineStr">
        <is>
          <t>728826</t>
        </is>
      </c>
      <c r="AW638" t="inlineStr">
        <is>
          <t>991003203899702656</t>
        </is>
      </c>
      <c r="AX638" t="inlineStr">
        <is>
          <t>991003203899702656</t>
        </is>
      </c>
      <c r="AY638" t="inlineStr">
        <is>
          <t>2263169370002656</t>
        </is>
      </c>
      <c r="AZ638" t="inlineStr">
        <is>
          <t>BOOK</t>
        </is>
      </c>
      <c r="BC638" t="inlineStr">
        <is>
          <t>32285001773505</t>
        </is>
      </c>
      <c r="BD638" t="inlineStr">
        <is>
          <t>893505318</t>
        </is>
      </c>
    </row>
    <row r="639">
      <c r="A639" t="inlineStr">
        <is>
          <t>No</t>
        </is>
      </c>
      <c r="B639" t="inlineStr">
        <is>
          <t>QD251 .R62</t>
        </is>
      </c>
      <c r="C639" t="inlineStr">
        <is>
          <t>0                      QD 0251000R  62</t>
        </is>
      </c>
      <c r="D639" t="inlineStr">
        <is>
          <t>Rodd's Chemistry of carbon compounds; a modern comprehensive treatise.</t>
        </is>
      </c>
      <c r="E639" t="inlineStr">
        <is>
          <t>V.2 PT.C</t>
        </is>
      </c>
      <c r="F639" t="inlineStr">
        <is>
          <t>Yes</t>
        </is>
      </c>
      <c r="G639" t="inlineStr">
        <is>
          <t>1</t>
        </is>
      </c>
      <c r="H639" t="inlineStr">
        <is>
          <t>No</t>
        </is>
      </c>
      <c r="I639" t="inlineStr">
        <is>
          <t>No</t>
        </is>
      </c>
      <c r="J639" t="inlineStr">
        <is>
          <t>0</t>
        </is>
      </c>
      <c r="K639" t="inlineStr">
        <is>
          <t>Rodd, E. H., editor.</t>
        </is>
      </c>
      <c r="L639" t="inlineStr">
        <is>
          <t>Amsterdam, New York, Elsevier Pub. Co., 1964-</t>
        </is>
      </c>
      <c r="M639" t="inlineStr">
        <is>
          <t>1964</t>
        </is>
      </c>
      <c r="N639" t="inlineStr">
        <is>
          <t>2d ed., edited by S. Coffey.</t>
        </is>
      </c>
      <c r="O639" t="inlineStr">
        <is>
          <t>eng</t>
        </is>
      </c>
      <c r="P639" t="inlineStr">
        <is>
          <t xml:space="preserve">ne </t>
        </is>
      </c>
      <c r="R639" t="inlineStr">
        <is>
          <t xml:space="preserve">QD </t>
        </is>
      </c>
      <c r="S639" t="n">
        <v>0</v>
      </c>
      <c r="T639" t="n">
        <v>23</v>
      </c>
      <c r="V639" t="inlineStr">
        <is>
          <t>1997-02-14</t>
        </is>
      </c>
      <c r="W639" t="inlineStr">
        <is>
          <t>1993-10-06</t>
        </is>
      </c>
      <c r="X639" t="inlineStr">
        <is>
          <t>1993-10-06</t>
        </is>
      </c>
      <c r="Y639" t="n">
        <v>671</v>
      </c>
      <c r="Z639" t="n">
        <v>551</v>
      </c>
      <c r="AA639" t="n">
        <v>586</v>
      </c>
      <c r="AB639" t="n">
        <v>3</v>
      </c>
      <c r="AC639" t="n">
        <v>3</v>
      </c>
      <c r="AD639" t="n">
        <v>22</v>
      </c>
      <c r="AE639" t="n">
        <v>23</v>
      </c>
      <c r="AF639" t="n">
        <v>7</v>
      </c>
      <c r="AG639" t="n">
        <v>7</v>
      </c>
      <c r="AH639" t="n">
        <v>5</v>
      </c>
      <c r="AI639" t="n">
        <v>6</v>
      </c>
      <c r="AJ639" t="n">
        <v>12</v>
      </c>
      <c r="AK639" t="n">
        <v>12</v>
      </c>
      <c r="AL639" t="n">
        <v>2</v>
      </c>
      <c r="AM639" t="n">
        <v>2</v>
      </c>
      <c r="AN639" t="n">
        <v>0</v>
      </c>
      <c r="AO639" t="n">
        <v>0</v>
      </c>
      <c r="AP639" t="inlineStr">
        <is>
          <t>No</t>
        </is>
      </c>
      <c r="AQ639" t="inlineStr">
        <is>
          <t>Yes</t>
        </is>
      </c>
      <c r="AR639">
        <f>HYPERLINK("http://catalog.hathitrust.org/Record/000238439","HathiTrust Record")</f>
        <v/>
      </c>
      <c r="AS639">
        <f>HYPERLINK("https://creighton-primo.hosted.exlibrisgroup.com/primo-explore/search?tab=default_tab&amp;search_scope=EVERYTHING&amp;vid=01CRU&amp;lang=en_US&amp;offset=0&amp;query=any,contains,991003203899702656","Catalog Record")</f>
        <v/>
      </c>
      <c r="AT639">
        <f>HYPERLINK("http://www.worldcat.org/oclc/728826","WorldCat Record")</f>
        <v/>
      </c>
      <c r="AU639" t="inlineStr">
        <is>
          <t>4535710341:eng</t>
        </is>
      </c>
      <c r="AV639" t="inlineStr">
        <is>
          <t>728826</t>
        </is>
      </c>
      <c r="AW639" t="inlineStr">
        <is>
          <t>991003203899702656</t>
        </is>
      </c>
      <c r="AX639" t="inlineStr">
        <is>
          <t>991003203899702656</t>
        </is>
      </c>
      <c r="AY639" t="inlineStr">
        <is>
          <t>2263169370002656</t>
        </is>
      </c>
      <c r="AZ639" t="inlineStr">
        <is>
          <t>BOOK</t>
        </is>
      </c>
      <c r="BC639" t="inlineStr">
        <is>
          <t>32285001773620</t>
        </is>
      </c>
      <c r="BD639" t="inlineStr">
        <is>
          <t>893499044</t>
        </is>
      </c>
    </row>
    <row r="640">
      <c r="A640" t="inlineStr">
        <is>
          <t>No</t>
        </is>
      </c>
      <c r="B640" t="inlineStr">
        <is>
          <t>QD251 .R62</t>
        </is>
      </c>
      <c r="C640" t="inlineStr">
        <is>
          <t>0                      QD 0251000R  62</t>
        </is>
      </c>
      <c r="D640" t="inlineStr">
        <is>
          <t>Rodd's Chemistry of carbon compounds; a modern comprehensive treatise.</t>
        </is>
      </c>
      <c r="E640" t="inlineStr">
        <is>
          <t>V.3 PT.A</t>
        </is>
      </c>
      <c r="F640" t="inlineStr">
        <is>
          <t>Yes</t>
        </is>
      </c>
      <c r="G640" t="inlineStr">
        <is>
          <t>1</t>
        </is>
      </c>
      <c r="H640" t="inlineStr">
        <is>
          <t>Yes</t>
        </is>
      </c>
      <c r="I640" t="inlineStr">
        <is>
          <t>No</t>
        </is>
      </c>
      <c r="J640" t="inlineStr">
        <is>
          <t>0</t>
        </is>
      </c>
      <c r="K640" t="inlineStr">
        <is>
          <t>Rodd, E. H., editor.</t>
        </is>
      </c>
      <c r="L640" t="inlineStr">
        <is>
          <t>Amsterdam, New York, Elsevier Pub. Co., 1964-</t>
        </is>
      </c>
      <c r="M640" t="inlineStr">
        <is>
          <t>1964</t>
        </is>
      </c>
      <c r="N640" t="inlineStr">
        <is>
          <t>2d ed., edited by S. Coffey.</t>
        </is>
      </c>
      <c r="O640" t="inlineStr">
        <is>
          <t>eng</t>
        </is>
      </c>
      <c r="P640" t="inlineStr">
        <is>
          <t xml:space="preserve">ne </t>
        </is>
      </c>
      <c r="R640" t="inlineStr">
        <is>
          <t xml:space="preserve">QD </t>
        </is>
      </c>
      <c r="S640" t="n">
        <v>6</v>
      </c>
      <c r="T640" t="n">
        <v>23</v>
      </c>
      <c r="U640" t="inlineStr">
        <is>
          <t>1997-02-14</t>
        </is>
      </c>
      <c r="V640" t="inlineStr">
        <is>
          <t>1997-02-14</t>
        </is>
      </c>
      <c r="W640" t="inlineStr">
        <is>
          <t>1993-10-06</t>
        </is>
      </c>
      <c r="X640" t="inlineStr">
        <is>
          <t>1993-10-06</t>
        </is>
      </c>
      <c r="Y640" t="n">
        <v>671</v>
      </c>
      <c r="Z640" t="n">
        <v>551</v>
      </c>
      <c r="AA640" t="n">
        <v>586</v>
      </c>
      <c r="AB640" t="n">
        <v>3</v>
      </c>
      <c r="AC640" t="n">
        <v>3</v>
      </c>
      <c r="AD640" t="n">
        <v>22</v>
      </c>
      <c r="AE640" t="n">
        <v>23</v>
      </c>
      <c r="AF640" t="n">
        <v>7</v>
      </c>
      <c r="AG640" t="n">
        <v>7</v>
      </c>
      <c r="AH640" t="n">
        <v>5</v>
      </c>
      <c r="AI640" t="n">
        <v>6</v>
      </c>
      <c r="AJ640" t="n">
        <v>12</v>
      </c>
      <c r="AK640" t="n">
        <v>12</v>
      </c>
      <c r="AL640" t="n">
        <v>2</v>
      </c>
      <c r="AM640" t="n">
        <v>2</v>
      </c>
      <c r="AN640" t="n">
        <v>0</v>
      </c>
      <c r="AO640" t="n">
        <v>0</v>
      </c>
      <c r="AP640" t="inlineStr">
        <is>
          <t>No</t>
        </is>
      </c>
      <c r="AQ640" t="inlineStr">
        <is>
          <t>Yes</t>
        </is>
      </c>
      <c r="AR640">
        <f>HYPERLINK("http://catalog.hathitrust.org/Record/000238439","HathiTrust Record")</f>
        <v/>
      </c>
      <c r="AS640">
        <f>HYPERLINK("https://creighton-primo.hosted.exlibrisgroup.com/primo-explore/search?tab=default_tab&amp;search_scope=EVERYTHING&amp;vid=01CRU&amp;lang=en_US&amp;offset=0&amp;query=any,contains,991003203899702656","Catalog Record")</f>
        <v/>
      </c>
      <c r="AT640">
        <f>HYPERLINK("http://www.worldcat.org/oclc/728826","WorldCat Record")</f>
        <v/>
      </c>
      <c r="AU640" t="inlineStr">
        <is>
          <t>4535710341:eng</t>
        </is>
      </c>
      <c r="AV640" t="inlineStr">
        <is>
          <t>728826</t>
        </is>
      </c>
      <c r="AW640" t="inlineStr">
        <is>
          <t>991003203899702656</t>
        </is>
      </c>
      <c r="AX640" t="inlineStr">
        <is>
          <t>991003203899702656</t>
        </is>
      </c>
      <c r="AY640" t="inlineStr">
        <is>
          <t>2263169370002656</t>
        </is>
      </c>
      <c r="AZ640" t="inlineStr">
        <is>
          <t>BOOK</t>
        </is>
      </c>
      <c r="BC640" t="inlineStr">
        <is>
          <t>32285001773653</t>
        </is>
      </c>
      <c r="BD640" t="inlineStr">
        <is>
          <t>893524539</t>
        </is>
      </c>
    </row>
    <row r="641">
      <c r="A641" t="inlineStr">
        <is>
          <t>No</t>
        </is>
      </c>
      <c r="B641" t="inlineStr">
        <is>
          <t>QD251 .R62</t>
        </is>
      </c>
      <c r="C641" t="inlineStr">
        <is>
          <t>0                      QD 0251000R  62</t>
        </is>
      </c>
      <c r="D641" t="inlineStr">
        <is>
          <t>Rodd's Chemistry of carbon compounds; a modern comprehensive treatise.</t>
        </is>
      </c>
      <c r="E641" t="inlineStr">
        <is>
          <t>V.2 PT.D</t>
        </is>
      </c>
      <c r="F641" t="inlineStr">
        <is>
          <t>Yes</t>
        </is>
      </c>
      <c r="G641" t="inlineStr">
        <is>
          <t>1</t>
        </is>
      </c>
      <c r="H641" t="inlineStr">
        <is>
          <t>No</t>
        </is>
      </c>
      <c r="I641" t="inlineStr">
        <is>
          <t>No</t>
        </is>
      </c>
      <c r="J641" t="inlineStr">
        <is>
          <t>0</t>
        </is>
      </c>
      <c r="K641" t="inlineStr">
        <is>
          <t>Rodd, E. H., editor.</t>
        </is>
      </c>
      <c r="L641" t="inlineStr">
        <is>
          <t>Amsterdam, New York, Elsevier Pub. Co., 1964-</t>
        </is>
      </c>
      <c r="M641" t="inlineStr">
        <is>
          <t>1964</t>
        </is>
      </c>
      <c r="N641" t="inlineStr">
        <is>
          <t>2d ed., edited by S. Coffey.</t>
        </is>
      </c>
      <c r="O641" t="inlineStr">
        <is>
          <t>eng</t>
        </is>
      </c>
      <c r="P641" t="inlineStr">
        <is>
          <t xml:space="preserve">ne </t>
        </is>
      </c>
      <c r="R641" t="inlineStr">
        <is>
          <t xml:space="preserve">QD </t>
        </is>
      </c>
      <c r="S641" t="n">
        <v>0</v>
      </c>
      <c r="T641" t="n">
        <v>23</v>
      </c>
      <c r="V641" t="inlineStr">
        <is>
          <t>1997-02-14</t>
        </is>
      </c>
      <c r="W641" t="inlineStr">
        <is>
          <t>1993-10-06</t>
        </is>
      </c>
      <c r="X641" t="inlineStr">
        <is>
          <t>1993-10-06</t>
        </is>
      </c>
      <c r="Y641" t="n">
        <v>671</v>
      </c>
      <c r="Z641" t="n">
        <v>551</v>
      </c>
      <c r="AA641" t="n">
        <v>586</v>
      </c>
      <c r="AB641" t="n">
        <v>3</v>
      </c>
      <c r="AC641" t="n">
        <v>3</v>
      </c>
      <c r="AD641" t="n">
        <v>22</v>
      </c>
      <c r="AE641" t="n">
        <v>23</v>
      </c>
      <c r="AF641" t="n">
        <v>7</v>
      </c>
      <c r="AG641" t="n">
        <v>7</v>
      </c>
      <c r="AH641" t="n">
        <v>5</v>
      </c>
      <c r="AI641" t="n">
        <v>6</v>
      </c>
      <c r="AJ641" t="n">
        <v>12</v>
      </c>
      <c r="AK641" t="n">
        <v>12</v>
      </c>
      <c r="AL641" t="n">
        <v>2</v>
      </c>
      <c r="AM641" t="n">
        <v>2</v>
      </c>
      <c r="AN641" t="n">
        <v>0</v>
      </c>
      <c r="AO641" t="n">
        <v>0</v>
      </c>
      <c r="AP641" t="inlineStr">
        <is>
          <t>No</t>
        </is>
      </c>
      <c r="AQ641" t="inlineStr">
        <is>
          <t>Yes</t>
        </is>
      </c>
      <c r="AR641">
        <f>HYPERLINK("http://catalog.hathitrust.org/Record/000238439","HathiTrust Record")</f>
        <v/>
      </c>
      <c r="AS641">
        <f>HYPERLINK("https://creighton-primo.hosted.exlibrisgroup.com/primo-explore/search?tab=default_tab&amp;search_scope=EVERYTHING&amp;vid=01CRU&amp;lang=en_US&amp;offset=0&amp;query=any,contains,991003203899702656","Catalog Record")</f>
        <v/>
      </c>
      <c r="AT641">
        <f>HYPERLINK("http://www.worldcat.org/oclc/728826","WorldCat Record")</f>
        <v/>
      </c>
      <c r="AU641" t="inlineStr">
        <is>
          <t>4535710341:eng</t>
        </is>
      </c>
      <c r="AV641" t="inlineStr">
        <is>
          <t>728826</t>
        </is>
      </c>
      <c r="AW641" t="inlineStr">
        <is>
          <t>991003203899702656</t>
        </is>
      </c>
      <c r="AX641" t="inlineStr">
        <is>
          <t>991003203899702656</t>
        </is>
      </c>
      <c r="AY641" t="inlineStr">
        <is>
          <t>2263169370002656</t>
        </is>
      </c>
      <c r="AZ641" t="inlineStr">
        <is>
          <t>BOOK</t>
        </is>
      </c>
      <c r="BC641" t="inlineStr">
        <is>
          <t>32285001773638</t>
        </is>
      </c>
      <c r="BD641" t="inlineStr">
        <is>
          <t>893505317</t>
        </is>
      </c>
    </row>
    <row r="642">
      <c r="A642" t="inlineStr">
        <is>
          <t>No</t>
        </is>
      </c>
      <c r="B642" t="inlineStr">
        <is>
          <t>QD251 .R62</t>
        </is>
      </c>
      <c r="C642" t="inlineStr">
        <is>
          <t>0                      QD 0251000R  62</t>
        </is>
      </c>
      <c r="D642" t="inlineStr">
        <is>
          <t>Rodd's Chemistry of carbon compounds; a modern comprehensive treatise.</t>
        </is>
      </c>
      <c r="E642" t="inlineStr">
        <is>
          <t>V.4 PT.B</t>
        </is>
      </c>
      <c r="F642" t="inlineStr">
        <is>
          <t>Yes</t>
        </is>
      </c>
      <c r="G642" t="inlineStr">
        <is>
          <t>1</t>
        </is>
      </c>
      <c r="H642" t="inlineStr">
        <is>
          <t>No</t>
        </is>
      </c>
      <c r="I642" t="inlineStr">
        <is>
          <t>No</t>
        </is>
      </c>
      <c r="J642" t="inlineStr">
        <is>
          <t>0</t>
        </is>
      </c>
      <c r="K642" t="inlineStr">
        <is>
          <t>Rodd, E. H., editor.</t>
        </is>
      </c>
      <c r="L642" t="inlineStr">
        <is>
          <t>Amsterdam, New York, Elsevier Pub. Co., 1964-</t>
        </is>
      </c>
      <c r="M642" t="inlineStr">
        <is>
          <t>1964</t>
        </is>
      </c>
      <c r="N642" t="inlineStr">
        <is>
          <t>2d ed., edited by S. Coffey.</t>
        </is>
      </c>
      <c r="O642" t="inlineStr">
        <is>
          <t>eng</t>
        </is>
      </c>
      <c r="P642" t="inlineStr">
        <is>
          <t xml:space="preserve">ne </t>
        </is>
      </c>
      <c r="R642" t="inlineStr">
        <is>
          <t xml:space="preserve">QD </t>
        </is>
      </c>
      <c r="S642" t="n">
        <v>0</v>
      </c>
      <c r="T642" t="n">
        <v>23</v>
      </c>
      <c r="V642" t="inlineStr">
        <is>
          <t>1997-02-14</t>
        </is>
      </c>
      <c r="W642" t="inlineStr">
        <is>
          <t>1993-10-06</t>
        </is>
      </c>
      <c r="X642" t="inlineStr">
        <is>
          <t>1993-10-06</t>
        </is>
      </c>
      <c r="Y642" t="n">
        <v>671</v>
      </c>
      <c r="Z642" t="n">
        <v>551</v>
      </c>
      <c r="AA642" t="n">
        <v>586</v>
      </c>
      <c r="AB642" t="n">
        <v>3</v>
      </c>
      <c r="AC642" t="n">
        <v>3</v>
      </c>
      <c r="AD642" t="n">
        <v>22</v>
      </c>
      <c r="AE642" t="n">
        <v>23</v>
      </c>
      <c r="AF642" t="n">
        <v>7</v>
      </c>
      <c r="AG642" t="n">
        <v>7</v>
      </c>
      <c r="AH642" t="n">
        <v>5</v>
      </c>
      <c r="AI642" t="n">
        <v>6</v>
      </c>
      <c r="AJ642" t="n">
        <v>12</v>
      </c>
      <c r="AK642" t="n">
        <v>12</v>
      </c>
      <c r="AL642" t="n">
        <v>2</v>
      </c>
      <c r="AM642" t="n">
        <v>2</v>
      </c>
      <c r="AN642" t="n">
        <v>0</v>
      </c>
      <c r="AO642" t="n">
        <v>0</v>
      </c>
      <c r="AP642" t="inlineStr">
        <is>
          <t>No</t>
        </is>
      </c>
      <c r="AQ642" t="inlineStr">
        <is>
          <t>Yes</t>
        </is>
      </c>
      <c r="AR642">
        <f>HYPERLINK("http://catalog.hathitrust.org/Record/000238439","HathiTrust Record")</f>
        <v/>
      </c>
      <c r="AS642">
        <f>HYPERLINK("https://creighton-primo.hosted.exlibrisgroup.com/primo-explore/search?tab=default_tab&amp;search_scope=EVERYTHING&amp;vid=01CRU&amp;lang=en_US&amp;offset=0&amp;query=any,contains,991003203899702656","Catalog Record")</f>
        <v/>
      </c>
      <c r="AT642">
        <f>HYPERLINK("http://www.worldcat.org/oclc/728826","WorldCat Record")</f>
        <v/>
      </c>
      <c r="AU642" t="inlineStr">
        <is>
          <t>4535710341:eng</t>
        </is>
      </c>
      <c r="AV642" t="inlineStr">
        <is>
          <t>728826</t>
        </is>
      </c>
      <c r="AW642" t="inlineStr">
        <is>
          <t>991003203899702656</t>
        </is>
      </c>
      <c r="AX642" t="inlineStr">
        <is>
          <t>991003203899702656</t>
        </is>
      </c>
      <c r="AY642" t="inlineStr">
        <is>
          <t>2263169370002656</t>
        </is>
      </c>
      <c r="AZ642" t="inlineStr">
        <is>
          <t>BOOK</t>
        </is>
      </c>
      <c r="BC642" t="inlineStr">
        <is>
          <t>32285001773778</t>
        </is>
      </c>
      <c r="BD642" t="inlineStr">
        <is>
          <t>893505320</t>
        </is>
      </c>
    </row>
    <row r="643">
      <c r="A643" t="inlineStr">
        <is>
          <t>No</t>
        </is>
      </c>
      <c r="B643" t="inlineStr">
        <is>
          <t>QD251 .R62</t>
        </is>
      </c>
      <c r="C643" t="inlineStr">
        <is>
          <t>0                      QD 0251000R  62</t>
        </is>
      </c>
      <c r="D643" t="inlineStr">
        <is>
          <t>Rodd's Chemistry of carbon compounds; a modern comprehensive treatise.</t>
        </is>
      </c>
      <c r="E643" t="inlineStr">
        <is>
          <t>V.1 PT.F-G</t>
        </is>
      </c>
      <c r="F643" t="inlineStr">
        <is>
          <t>Yes</t>
        </is>
      </c>
      <c r="G643" t="inlineStr">
        <is>
          <t>1</t>
        </is>
      </c>
      <c r="H643" t="inlineStr">
        <is>
          <t>No</t>
        </is>
      </c>
      <c r="I643" t="inlineStr">
        <is>
          <t>No</t>
        </is>
      </c>
      <c r="J643" t="inlineStr">
        <is>
          <t>0</t>
        </is>
      </c>
      <c r="K643" t="inlineStr">
        <is>
          <t>Rodd, E. H., editor.</t>
        </is>
      </c>
      <c r="L643" t="inlineStr">
        <is>
          <t>Amsterdam, New York, Elsevier Pub. Co., 1964-</t>
        </is>
      </c>
      <c r="M643" t="inlineStr">
        <is>
          <t>1964</t>
        </is>
      </c>
      <c r="N643" t="inlineStr">
        <is>
          <t>2d ed., edited by S. Coffey.</t>
        </is>
      </c>
      <c r="O643" t="inlineStr">
        <is>
          <t>eng</t>
        </is>
      </c>
      <c r="P643" t="inlineStr">
        <is>
          <t xml:space="preserve">ne </t>
        </is>
      </c>
      <c r="R643" t="inlineStr">
        <is>
          <t xml:space="preserve">QD </t>
        </is>
      </c>
      <c r="S643" t="n">
        <v>0</v>
      </c>
      <c r="T643" t="n">
        <v>23</v>
      </c>
      <c r="V643" t="inlineStr">
        <is>
          <t>1997-02-14</t>
        </is>
      </c>
      <c r="W643" t="inlineStr">
        <is>
          <t>1993-10-06</t>
        </is>
      </c>
      <c r="X643" t="inlineStr">
        <is>
          <t>1993-10-06</t>
        </is>
      </c>
      <c r="Y643" t="n">
        <v>671</v>
      </c>
      <c r="Z643" t="n">
        <v>551</v>
      </c>
      <c r="AA643" t="n">
        <v>586</v>
      </c>
      <c r="AB643" t="n">
        <v>3</v>
      </c>
      <c r="AC643" t="n">
        <v>3</v>
      </c>
      <c r="AD643" t="n">
        <v>22</v>
      </c>
      <c r="AE643" t="n">
        <v>23</v>
      </c>
      <c r="AF643" t="n">
        <v>7</v>
      </c>
      <c r="AG643" t="n">
        <v>7</v>
      </c>
      <c r="AH643" t="n">
        <v>5</v>
      </c>
      <c r="AI643" t="n">
        <v>6</v>
      </c>
      <c r="AJ643" t="n">
        <v>12</v>
      </c>
      <c r="AK643" t="n">
        <v>12</v>
      </c>
      <c r="AL643" t="n">
        <v>2</v>
      </c>
      <c r="AM643" t="n">
        <v>2</v>
      </c>
      <c r="AN643" t="n">
        <v>0</v>
      </c>
      <c r="AO643" t="n">
        <v>0</v>
      </c>
      <c r="AP643" t="inlineStr">
        <is>
          <t>No</t>
        </is>
      </c>
      <c r="AQ643" t="inlineStr">
        <is>
          <t>Yes</t>
        </is>
      </c>
      <c r="AR643">
        <f>HYPERLINK("http://catalog.hathitrust.org/Record/000238439","HathiTrust Record")</f>
        <v/>
      </c>
      <c r="AS643">
        <f>HYPERLINK("https://creighton-primo.hosted.exlibrisgroup.com/primo-explore/search?tab=default_tab&amp;search_scope=EVERYTHING&amp;vid=01CRU&amp;lang=en_US&amp;offset=0&amp;query=any,contains,991003203899702656","Catalog Record")</f>
        <v/>
      </c>
      <c r="AT643">
        <f>HYPERLINK("http://www.worldcat.org/oclc/728826","WorldCat Record")</f>
        <v/>
      </c>
      <c r="AU643" t="inlineStr">
        <is>
          <t>4535710341:eng</t>
        </is>
      </c>
      <c r="AV643" t="inlineStr">
        <is>
          <t>728826</t>
        </is>
      </c>
      <c r="AW643" t="inlineStr">
        <is>
          <t>991003203899702656</t>
        </is>
      </c>
      <c r="AX643" t="inlineStr">
        <is>
          <t>991003203899702656</t>
        </is>
      </c>
      <c r="AY643" t="inlineStr">
        <is>
          <t>2263169370002656</t>
        </is>
      </c>
      <c r="AZ643" t="inlineStr">
        <is>
          <t>BOOK</t>
        </is>
      </c>
      <c r="BC643" t="inlineStr">
        <is>
          <t>32285001773596</t>
        </is>
      </c>
      <c r="BD643" t="inlineStr">
        <is>
          <t>893505319</t>
        </is>
      </c>
    </row>
    <row r="644">
      <c r="A644" t="inlineStr">
        <is>
          <t>No</t>
        </is>
      </c>
      <c r="B644" t="inlineStr">
        <is>
          <t>QD251 .R62</t>
        </is>
      </c>
      <c r="C644" t="inlineStr">
        <is>
          <t>0                      QD 0251000R  62</t>
        </is>
      </c>
      <c r="D644" t="inlineStr">
        <is>
          <t>Rodd's Chemistry of carbon compounds; a modern comprehensive treatise.</t>
        </is>
      </c>
      <c r="E644" t="inlineStr">
        <is>
          <t>V.2 PT.A</t>
        </is>
      </c>
      <c r="F644" t="inlineStr">
        <is>
          <t>Yes</t>
        </is>
      </c>
      <c r="G644" t="inlineStr">
        <is>
          <t>1</t>
        </is>
      </c>
      <c r="H644" t="inlineStr">
        <is>
          <t>No</t>
        </is>
      </c>
      <c r="I644" t="inlineStr">
        <is>
          <t>No</t>
        </is>
      </c>
      <c r="J644" t="inlineStr">
        <is>
          <t>0</t>
        </is>
      </c>
      <c r="K644" t="inlineStr">
        <is>
          <t>Rodd, E. H., editor.</t>
        </is>
      </c>
      <c r="L644" t="inlineStr">
        <is>
          <t>Amsterdam, New York, Elsevier Pub. Co., 1964-</t>
        </is>
      </c>
      <c r="M644" t="inlineStr">
        <is>
          <t>1964</t>
        </is>
      </c>
      <c r="N644" t="inlineStr">
        <is>
          <t>2d ed., edited by S. Coffey.</t>
        </is>
      </c>
      <c r="O644" t="inlineStr">
        <is>
          <t>eng</t>
        </is>
      </c>
      <c r="P644" t="inlineStr">
        <is>
          <t xml:space="preserve">ne </t>
        </is>
      </c>
      <c r="R644" t="inlineStr">
        <is>
          <t xml:space="preserve">QD </t>
        </is>
      </c>
      <c r="S644" t="n">
        <v>0</v>
      </c>
      <c r="T644" t="n">
        <v>23</v>
      </c>
      <c r="V644" t="inlineStr">
        <is>
          <t>1997-02-14</t>
        </is>
      </c>
      <c r="W644" t="inlineStr">
        <is>
          <t>1993-10-06</t>
        </is>
      </c>
      <c r="X644" t="inlineStr">
        <is>
          <t>1993-10-06</t>
        </is>
      </c>
      <c r="Y644" t="n">
        <v>671</v>
      </c>
      <c r="Z644" t="n">
        <v>551</v>
      </c>
      <c r="AA644" t="n">
        <v>586</v>
      </c>
      <c r="AB644" t="n">
        <v>3</v>
      </c>
      <c r="AC644" t="n">
        <v>3</v>
      </c>
      <c r="AD644" t="n">
        <v>22</v>
      </c>
      <c r="AE644" t="n">
        <v>23</v>
      </c>
      <c r="AF644" t="n">
        <v>7</v>
      </c>
      <c r="AG644" t="n">
        <v>7</v>
      </c>
      <c r="AH644" t="n">
        <v>5</v>
      </c>
      <c r="AI644" t="n">
        <v>6</v>
      </c>
      <c r="AJ644" t="n">
        <v>12</v>
      </c>
      <c r="AK644" t="n">
        <v>12</v>
      </c>
      <c r="AL644" t="n">
        <v>2</v>
      </c>
      <c r="AM644" t="n">
        <v>2</v>
      </c>
      <c r="AN644" t="n">
        <v>0</v>
      </c>
      <c r="AO644" t="n">
        <v>0</v>
      </c>
      <c r="AP644" t="inlineStr">
        <is>
          <t>No</t>
        </is>
      </c>
      <c r="AQ644" t="inlineStr">
        <is>
          <t>Yes</t>
        </is>
      </c>
      <c r="AR644">
        <f>HYPERLINK("http://catalog.hathitrust.org/Record/000238439","HathiTrust Record")</f>
        <v/>
      </c>
      <c r="AS644">
        <f>HYPERLINK("https://creighton-primo.hosted.exlibrisgroup.com/primo-explore/search?tab=default_tab&amp;search_scope=EVERYTHING&amp;vid=01CRU&amp;lang=en_US&amp;offset=0&amp;query=any,contains,991003203899702656","Catalog Record")</f>
        <v/>
      </c>
      <c r="AT644">
        <f>HYPERLINK("http://www.worldcat.org/oclc/728826","WorldCat Record")</f>
        <v/>
      </c>
      <c r="AU644" t="inlineStr">
        <is>
          <t>4535710341:eng</t>
        </is>
      </c>
      <c r="AV644" t="inlineStr">
        <is>
          <t>728826</t>
        </is>
      </c>
      <c r="AW644" t="inlineStr">
        <is>
          <t>991003203899702656</t>
        </is>
      </c>
      <c r="AX644" t="inlineStr">
        <is>
          <t>991003203899702656</t>
        </is>
      </c>
      <c r="AY644" t="inlineStr">
        <is>
          <t>2263169370002656</t>
        </is>
      </c>
      <c r="AZ644" t="inlineStr">
        <is>
          <t>BOOK</t>
        </is>
      </c>
      <c r="BC644" t="inlineStr">
        <is>
          <t>32285001773604</t>
        </is>
      </c>
      <c r="BD644" t="inlineStr">
        <is>
          <t>893505325</t>
        </is>
      </c>
    </row>
    <row r="645">
      <c r="A645" t="inlineStr">
        <is>
          <t>No</t>
        </is>
      </c>
      <c r="B645" t="inlineStr">
        <is>
          <t>QD251 .R62</t>
        </is>
      </c>
      <c r="C645" t="inlineStr">
        <is>
          <t>0                      QD 0251000R  62</t>
        </is>
      </c>
      <c r="D645" t="inlineStr">
        <is>
          <t>Rodd's Chemistry of carbon compounds; a modern comprehensive treatise.</t>
        </is>
      </c>
      <c r="E645" t="inlineStr">
        <is>
          <t>V.1 PT.F</t>
        </is>
      </c>
      <c r="F645" t="inlineStr">
        <is>
          <t>Yes</t>
        </is>
      </c>
      <c r="G645" t="inlineStr">
        <is>
          <t>1</t>
        </is>
      </c>
      <c r="H645" t="inlineStr">
        <is>
          <t>No</t>
        </is>
      </c>
      <c r="I645" t="inlineStr">
        <is>
          <t>No</t>
        </is>
      </c>
      <c r="J645" t="inlineStr">
        <is>
          <t>0</t>
        </is>
      </c>
      <c r="K645" t="inlineStr">
        <is>
          <t>Rodd, E. H., editor.</t>
        </is>
      </c>
      <c r="L645" t="inlineStr">
        <is>
          <t>Amsterdam, New York, Elsevier Pub. Co., 1964-</t>
        </is>
      </c>
      <c r="M645" t="inlineStr">
        <is>
          <t>1964</t>
        </is>
      </c>
      <c r="N645" t="inlineStr">
        <is>
          <t>2d ed., edited by S. Coffey.</t>
        </is>
      </c>
      <c r="O645" t="inlineStr">
        <is>
          <t>eng</t>
        </is>
      </c>
      <c r="P645" t="inlineStr">
        <is>
          <t xml:space="preserve">ne </t>
        </is>
      </c>
      <c r="R645" t="inlineStr">
        <is>
          <t xml:space="preserve">QD </t>
        </is>
      </c>
      <c r="S645" t="n">
        <v>0</v>
      </c>
      <c r="T645" t="n">
        <v>23</v>
      </c>
      <c r="V645" t="inlineStr">
        <is>
          <t>1997-02-14</t>
        </is>
      </c>
      <c r="W645" t="inlineStr">
        <is>
          <t>1993-10-06</t>
        </is>
      </c>
      <c r="X645" t="inlineStr">
        <is>
          <t>1993-10-06</t>
        </is>
      </c>
      <c r="Y645" t="n">
        <v>671</v>
      </c>
      <c r="Z645" t="n">
        <v>551</v>
      </c>
      <c r="AA645" t="n">
        <v>586</v>
      </c>
      <c r="AB645" t="n">
        <v>3</v>
      </c>
      <c r="AC645" t="n">
        <v>3</v>
      </c>
      <c r="AD645" t="n">
        <v>22</v>
      </c>
      <c r="AE645" t="n">
        <v>23</v>
      </c>
      <c r="AF645" t="n">
        <v>7</v>
      </c>
      <c r="AG645" t="n">
        <v>7</v>
      </c>
      <c r="AH645" t="n">
        <v>5</v>
      </c>
      <c r="AI645" t="n">
        <v>6</v>
      </c>
      <c r="AJ645" t="n">
        <v>12</v>
      </c>
      <c r="AK645" t="n">
        <v>12</v>
      </c>
      <c r="AL645" t="n">
        <v>2</v>
      </c>
      <c r="AM645" t="n">
        <v>2</v>
      </c>
      <c r="AN645" t="n">
        <v>0</v>
      </c>
      <c r="AO645" t="n">
        <v>0</v>
      </c>
      <c r="AP645" t="inlineStr">
        <is>
          <t>No</t>
        </is>
      </c>
      <c r="AQ645" t="inlineStr">
        <is>
          <t>Yes</t>
        </is>
      </c>
      <c r="AR645">
        <f>HYPERLINK("http://catalog.hathitrust.org/Record/000238439","HathiTrust Record")</f>
        <v/>
      </c>
      <c r="AS645">
        <f>HYPERLINK("https://creighton-primo.hosted.exlibrisgroup.com/primo-explore/search?tab=default_tab&amp;search_scope=EVERYTHING&amp;vid=01CRU&amp;lang=en_US&amp;offset=0&amp;query=any,contains,991003203899702656","Catalog Record")</f>
        <v/>
      </c>
      <c r="AT645">
        <f>HYPERLINK("http://www.worldcat.org/oclc/728826","WorldCat Record")</f>
        <v/>
      </c>
      <c r="AU645" t="inlineStr">
        <is>
          <t>4535710341:eng</t>
        </is>
      </c>
      <c r="AV645" t="inlineStr">
        <is>
          <t>728826</t>
        </is>
      </c>
      <c r="AW645" t="inlineStr">
        <is>
          <t>991003203899702656</t>
        </is>
      </c>
      <c r="AX645" t="inlineStr">
        <is>
          <t>991003203899702656</t>
        </is>
      </c>
      <c r="AY645" t="inlineStr">
        <is>
          <t>2263169370002656</t>
        </is>
      </c>
      <c r="AZ645" t="inlineStr">
        <is>
          <t>BOOK</t>
        </is>
      </c>
      <c r="BC645" t="inlineStr">
        <is>
          <t>32285001773570</t>
        </is>
      </c>
      <c r="BD645" t="inlineStr">
        <is>
          <t>893511673</t>
        </is>
      </c>
    </row>
    <row r="646">
      <c r="A646" t="inlineStr">
        <is>
          <t>No</t>
        </is>
      </c>
      <c r="B646" t="inlineStr">
        <is>
          <t>QD251 .R62</t>
        </is>
      </c>
      <c r="C646" t="inlineStr">
        <is>
          <t>0                      QD 0251000R  62</t>
        </is>
      </c>
      <c r="D646" t="inlineStr">
        <is>
          <t>Rodd's Chemistry of carbon compounds; a modern comprehensive treatise.</t>
        </is>
      </c>
      <c r="E646" t="inlineStr">
        <is>
          <t>V.4 PT.F</t>
        </is>
      </c>
      <c r="F646" t="inlineStr">
        <is>
          <t>Yes</t>
        </is>
      </c>
      <c r="G646" t="inlineStr">
        <is>
          <t>1</t>
        </is>
      </c>
      <c r="H646" t="inlineStr">
        <is>
          <t>No</t>
        </is>
      </c>
      <c r="I646" t="inlineStr">
        <is>
          <t>No</t>
        </is>
      </c>
      <c r="J646" t="inlineStr">
        <is>
          <t>0</t>
        </is>
      </c>
      <c r="K646" t="inlineStr">
        <is>
          <t>Rodd, E. H., editor.</t>
        </is>
      </c>
      <c r="L646" t="inlineStr">
        <is>
          <t>Amsterdam, New York, Elsevier Pub. Co., 1964-</t>
        </is>
      </c>
      <c r="M646" t="inlineStr">
        <is>
          <t>1964</t>
        </is>
      </c>
      <c r="N646" t="inlineStr">
        <is>
          <t>2d ed., edited by S. Coffey.</t>
        </is>
      </c>
      <c r="O646" t="inlineStr">
        <is>
          <t>eng</t>
        </is>
      </c>
      <c r="P646" t="inlineStr">
        <is>
          <t xml:space="preserve">ne </t>
        </is>
      </c>
      <c r="R646" t="inlineStr">
        <is>
          <t xml:space="preserve">QD </t>
        </is>
      </c>
      <c r="S646" t="n">
        <v>0</v>
      </c>
      <c r="T646" t="n">
        <v>23</v>
      </c>
      <c r="V646" t="inlineStr">
        <is>
          <t>1997-02-14</t>
        </is>
      </c>
      <c r="W646" t="inlineStr">
        <is>
          <t>1993-10-06</t>
        </is>
      </c>
      <c r="X646" t="inlineStr">
        <is>
          <t>1993-10-06</t>
        </is>
      </c>
      <c r="Y646" t="n">
        <v>671</v>
      </c>
      <c r="Z646" t="n">
        <v>551</v>
      </c>
      <c r="AA646" t="n">
        <v>586</v>
      </c>
      <c r="AB646" t="n">
        <v>3</v>
      </c>
      <c r="AC646" t="n">
        <v>3</v>
      </c>
      <c r="AD646" t="n">
        <v>22</v>
      </c>
      <c r="AE646" t="n">
        <v>23</v>
      </c>
      <c r="AF646" t="n">
        <v>7</v>
      </c>
      <c r="AG646" t="n">
        <v>7</v>
      </c>
      <c r="AH646" t="n">
        <v>5</v>
      </c>
      <c r="AI646" t="n">
        <v>6</v>
      </c>
      <c r="AJ646" t="n">
        <v>12</v>
      </c>
      <c r="AK646" t="n">
        <v>12</v>
      </c>
      <c r="AL646" t="n">
        <v>2</v>
      </c>
      <c r="AM646" t="n">
        <v>2</v>
      </c>
      <c r="AN646" t="n">
        <v>0</v>
      </c>
      <c r="AO646" t="n">
        <v>0</v>
      </c>
      <c r="AP646" t="inlineStr">
        <is>
          <t>No</t>
        </is>
      </c>
      <c r="AQ646" t="inlineStr">
        <is>
          <t>Yes</t>
        </is>
      </c>
      <c r="AR646">
        <f>HYPERLINK("http://catalog.hathitrust.org/Record/000238439","HathiTrust Record")</f>
        <v/>
      </c>
      <c r="AS646">
        <f>HYPERLINK("https://creighton-primo.hosted.exlibrisgroup.com/primo-explore/search?tab=default_tab&amp;search_scope=EVERYTHING&amp;vid=01CRU&amp;lang=en_US&amp;offset=0&amp;query=any,contains,991003203899702656","Catalog Record")</f>
        <v/>
      </c>
      <c r="AT646">
        <f>HYPERLINK("http://www.worldcat.org/oclc/728826","WorldCat Record")</f>
        <v/>
      </c>
      <c r="AU646" t="inlineStr">
        <is>
          <t>4535710341:eng</t>
        </is>
      </c>
      <c r="AV646" t="inlineStr">
        <is>
          <t>728826</t>
        </is>
      </c>
      <c r="AW646" t="inlineStr">
        <is>
          <t>991003203899702656</t>
        </is>
      </c>
      <c r="AX646" t="inlineStr">
        <is>
          <t>991003203899702656</t>
        </is>
      </c>
      <c r="AY646" t="inlineStr">
        <is>
          <t>2263169370002656</t>
        </is>
      </c>
      <c r="AZ646" t="inlineStr">
        <is>
          <t>BOOK</t>
        </is>
      </c>
      <c r="BC646" t="inlineStr">
        <is>
          <t>32285001773794</t>
        </is>
      </c>
      <c r="BD646" t="inlineStr">
        <is>
          <t>893505322</t>
        </is>
      </c>
    </row>
    <row r="647">
      <c r="A647" t="inlineStr">
        <is>
          <t>No</t>
        </is>
      </c>
      <c r="B647" t="inlineStr">
        <is>
          <t>QD251 .R62</t>
        </is>
      </c>
      <c r="C647" t="inlineStr">
        <is>
          <t>0                      QD 0251000R  62</t>
        </is>
      </c>
      <c r="D647" t="inlineStr">
        <is>
          <t>Rodd's Chemistry of carbon compounds; a modern comprehensive treatise.</t>
        </is>
      </c>
      <c r="E647" t="inlineStr">
        <is>
          <t>V.3 PT.D</t>
        </is>
      </c>
      <c r="F647" t="inlineStr">
        <is>
          <t>Yes</t>
        </is>
      </c>
      <c r="G647" t="inlineStr">
        <is>
          <t>1</t>
        </is>
      </c>
      <c r="H647" t="inlineStr">
        <is>
          <t>No</t>
        </is>
      </c>
      <c r="I647" t="inlineStr">
        <is>
          <t>No</t>
        </is>
      </c>
      <c r="J647" t="inlineStr">
        <is>
          <t>0</t>
        </is>
      </c>
      <c r="K647" t="inlineStr">
        <is>
          <t>Rodd, E. H., editor.</t>
        </is>
      </c>
      <c r="L647" t="inlineStr">
        <is>
          <t>Amsterdam, New York, Elsevier Pub. Co., 1964-</t>
        </is>
      </c>
      <c r="M647" t="inlineStr">
        <is>
          <t>1964</t>
        </is>
      </c>
      <c r="N647" t="inlineStr">
        <is>
          <t>2d ed., edited by S. Coffey.</t>
        </is>
      </c>
      <c r="O647" t="inlineStr">
        <is>
          <t>eng</t>
        </is>
      </c>
      <c r="P647" t="inlineStr">
        <is>
          <t xml:space="preserve">ne </t>
        </is>
      </c>
      <c r="R647" t="inlineStr">
        <is>
          <t xml:space="preserve">QD </t>
        </is>
      </c>
      <c r="S647" t="n">
        <v>0</v>
      </c>
      <c r="T647" t="n">
        <v>23</v>
      </c>
      <c r="V647" t="inlineStr">
        <is>
          <t>1997-02-14</t>
        </is>
      </c>
      <c r="W647" t="inlineStr">
        <is>
          <t>1993-10-06</t>
        </is>
      </c>
      <c r="X647" t="inlineStr">
        <is>
          <t>1993-10-06</t>
        </is>
      </c>
      <c r="Y647" t="n">
        <v>671</v>
      </c>
      <c r="Z647" t="n">
        <v>551</v>
      </c>
      <c r="AA647" t="n">
        <v>586</v>
      </c>
      <c r="AB647" t="n">
        <v>3</v>
      </c>
      <c r="AC647" t="n">
        <v>3</v>
      </c>
      <c r="AD647" t="n">
        <v>22</v>
      </c>
      <c r="AE647" t="n">
        <v>23</v>
      </c>
      <c r="AF647" t="n">
        <v>7</v>
      </c>
      <c r="AG647" t="n">
        <v>7</v>
      </c>
      <c r="AH647" t="n">
        <v>5</v>
      </c>
      <c r="AI647" t="n">
        <v>6</v>
      </c>
      <c r="AJ647" t="n">
        <v>12</v>
      </c>
      <c r="AK647" t="n">
        <v>12</v>
      </c>
      <c r="AL647" t="n">
        <v>2</v>
      </c>
      <c r="AM647" t="n">
        <v>2</v>
      </c>
      <c r="AN647" t="n">
        <v>0</v>
      </c>
      <c r="AO647" t="n">
        <v>0</v>
      </c>
      <c r="AP647" t="inlineStr">
        <is>
          <t>No</t>
        </is>
      </c>
      <c r="AQ647" t="inlineStr">
        <is>
          <t>Yes</t>
        </is>
      </c>
      <c r="AR647">
        <f>HYPERLINK("http://catalog.hathitrust.org/Record/000238439","HathiTrust Record")</f>
        <v/>
      </c>
      <c r="AS647">
        <f>HYPERLINK("https://creighton-primo.hosted.exlibrisgroup.com/primo-explore/search?tab=default_tab&amp;search_scope=EVERYTHING&amp;vid=01CRU&amp;lang=en_US&amp;offset=0&amp;query=any,contains,991003203899702656","Catalog Record")</f>
        <v/>
      </c>
      <c r="AT647">
        <f>HYPERLINK("http://www.worldcat.org/oclc/728826","WorldCat Record")</f>
        <v/>
      </c>
      <c r="AU647" t="inlineStr">
        <is>
          <t>4535710341:eng</t>
        </is>
      </c>
      <c r="AV647" t="inlineStr">
        <is>
          <t>728826</t>
        </is>
      </c>
      <c r="AW647" t="inlineStr">
        <is>
          <t>991003203899702656</t>
        </is>
      </c>
      <c r="AX647" t="inlineStr">
        <is>
          <t>991003203899702656</t>
        </is>
      </c>
      <c r="AY647" t="inlineStr">
        <is>
          <t>2263169370002656</t>
        </is>
      </c>
      <c r="AZ647" t="inlineStr">
        <is>
          <t>BOOK</t>
        </is>
      </c>
      <c r="BC647" t="inlineStr">
        <is>
          <t>32285001773703</t>
        </is>
      </c>
      <c r="BD647" t="inlineStr">
        <is>
          <t>893505314</t>
        </is>
      </c>
    </row>
    <row r="648">
      <c r="A648" t="inlineStr">
        <is>
          <t>No</t>
        </is>
      </c>
      <c r="B648" t="inlineStr">
        <is>
          <t>QD251 .R62</t>
        </is>
      </c>
      <c r="C648" t="inlineStr">
        <is>
          <t>0                      QD 0251000R  62</t>
        </is>
      </c>
      <c r="D648" t="inlineStr">
        <is>
          <t>Rodd's Chemistry of carbon compounds; a modern comprehensive treatise.</t>
        </is>
      </c>
      <c r="E648" t="inlineStr">
        <is>
          <t>V.4 PT.K</t>
        </is>
      </c>
      <c r="F648" t="inlineStr">
        <is>
          <t>Yes</t>
        </is>
      </c>
      <c r="G648" t="inlineStr">
        <is>
          <t>1</t>
        </is>
      </c>
      <c r="H648" t="inlineStr">
        <is>
          <t>No</t>
        </is>
      </c>
      <c r="I648" t="inlineStr">
        <is>
          <t>No</t>
        </is>
      </c>
      <c r="J648" t="inlineStr">
        <is>
          <t>0</t>
        </is>
      </c>
      <c r="K648" t="inlineStr">
        <is>
          <t>Rodd, E. H., editor.</t>
        </is>
      </c>
      <c r="L648" t="inlineStr">
        <is>
          <t>Amsterdam, New York, Elsevier Pub. Co., 1964-</t>
        </is>
      </c>
      <c r="M648" t="inlineStr">
        <is>
          <t>1964</t>
        </is>
      </c>
      <c r="N648" t="inlineStr">
        <is>
          <t>2d ed., edited by S. Coffey.</t>
        </is>
      </c>
      <c r="O648" t="inlineStr">
        <is>
          <t>eng</t>
        </is>
      </c>
      <c r="P648" t="inlineStr">
        <is>
          <t xml:space="preserve">ne </t>
        </is>
      </c>
      <c r="R648" t="inlineStr">
        <is>
          <t xml:space="preserve">QD </t>
        </is>
      </c>
      <c r="S648" t="n">
        <v>0</v>
      </c>
      <c r="T648" t="n">
        <v>23</v>
      </c>
      <c r="V648" t="inlineStr">
        <is>
          <t>1997-02-14</t>
        </is>
      </c>
      <c r="W648" t="inlineStr">
        <is>
          <t>1993-10-06</t>
        </is>
      </c>
      <c r="X648" t="inlineStr">
        <is>
          <t>1993-10-06</t>
        </is>
      </c>
      <c r="Y648" t="n">
        <v>671</v>
      </c>
      <c r="Z648" t="n">
        <v>551</v>
      </c>
      <c r="AA648" t="n">
        <v>586</v>
      </c>
      <c r="AB648" t="n">
        <v>3</v>
      </c>
      <c r="AC648" t="n">
        <v>3</v>
      </c>
      <c r="AD648" t="n">
        <v>22</v>
      </c>
      <c r="AE648" t="n">
        <v>23</v>
      </c>
      <c r="AF648" t="n">
        <v>7</v>
      </c>
      <c r="AG648" t="n">
        <v>7</v>
      </c>
      <c r="AH648" t="n">
        <v>5</v>
      </c>
      <c r="AI648" t="n">
        <v>6</v>
      </c>
      <c r="AJ648" t="n">
        <v>12</v>
      </c>
      <c r="AK648" t="n">
        <v>12</v>
      </c>
      <c r="AL648" t="n">
        <v>2</v>
      </c>
      <c r="AM648" t="n">
        <v>2</v>
      </c>
      <c r="AN648" t="n">
        <v>0</v>
      </c>
      <c r="AO648" t="n">
        <v>0</v>
      </c>
      <c r="AP648" t="inlineStr">
        <is>
          <t>No</t>
        </is>
      </c>
      <c r="AQ648" t="inlineStr">
        <is>
          <t>Yes</t>
        </is>
      </c>
      <c r="AR648">
        <f>HYPERLINK("http://catalog.hathitrust.org/Record/000238439","HathiTrust Record")</f>
        <v/>
      </c>
      <c r="AS648">
        <f>HYPERLINK("https://creighton-primo.hosted.exlibrisgroup.com/primo-explore/search?tab=default_tab&amp;search_scope=EVERYTHING&amp;vid=01CRU&amp;lang=en_US&amp;offset=0&amp;query=any,contains,991003203899702656","Catalog Record")</f>
        <v/>
      </c>
      <c r="AT648">
        <f>HYPERLINK("http://www.worldcat.org/oclc/728826","WorldCat Record")</f>
        <v/>
      </c>
      <c r="AU648" t="inlineStr">
        <is>
          <t>4535710341:eng</t>
        </is>
      </c>
      <c r="AV648" t="inlineStr">
        <is>
          <t>728826</t>
        </is>
      </c>
      <c r="AW648" t="inlineStr">
        <is>
          <t>991003203899702656</t>
        </is>
      </c>
      <c r="AX648" t="inlineStr">
        <is>
          <t>991003203899702656</t>
        </is>
      </c>
      <c r="AY648" t="inlineStr">
        <is>
          <t>2263169370002656</t>
        </is>
      </c>
      <c r="AZ648" t="inlineStr">
        <is>
          <t>BOOK</t>
        </is>
      </c>
      <c r="BC648" t="inlineStr">
        <is>
          <t>32285001773828</t>
        </is>
      </c>
      <c r="BD648" t="inlineStr">
        <is>
          <t>893530937</t>
        </is>
      </c>
    </row>
    <row r="649">
      <c r="A649" t="inlineStr">
        <is>
          <t>No</t>
        </is>
      </c>
      <c r="B649" t="inlineStr">
        <is>
          <t>QD251 .R62</t>
        </is>
      </c>
      <c r="C649" t="inlineStr">
        <is>
          <t>0                      QD 0251000R  62</t>
        </is>
      </c>
      <c r="D649" t="inlineStr">
        <is>
          <t>Rodd's Chemistry of carbon compounds; a modern comprehensive treatise.</t>
        </is>
      </c>
      <c r="E649" t="inlineStr">
        <is>
          <t>V.1 PT.G</t>
        </is>
      </c>
      <c r="F649" t="inlineStr">
        <is>
          <t>Yes</t>
        </is>
      </c>
      <c r="G649" t="inlineStr">
        <is>
          <t>1</t>
        </is>
      </c>
      <c r="H649" t="inlineStr">
        <is>
          <t>No</t>
        </is>
      </c>
      <c r="I649" t="inlineStr">
        <is>
          <t>No</t>
        </is>
      </c>
      <c r="J649" t="inlineStr">
        <is>
          <t>0</t>
        </is>
      </c>
      <c r="K649" t="inlineStr">
        <is>
          <t>Rodd, E. H., editor.</t>
        </is>
      </c>
      <c r="L649" t="inlineStr">
        <is>
          <t>Amsterdam, New York, Elsevier Pub. Co., 1964-</t>
        </is>
      </c>
      <c r="M649" t="inlineStr">
        <is>
          <t>1964</t>
        </is>
      </c>
      <c r="N649" t="inlineStr">
        <is>
          <t>2d ed., edited by S. Coffey.</t>
        </is>
      </c>
      <c r="O649" t="inlineStr">
        <is>
          <t>eng</t>
        </is>
      </c>
      <c r="P649" t="inlineStr">
        <is>
          <t xml:space="preserve">ne </t>
        </is>
      </c>
      <c r="R649" t="inlineStr">
        <is>
          <t xml:space="preserve">QD </t>
        </is>
      </c>
      <c r="S649" t="n">
        <v>0</v>
      </c>
      <c r="T649" t="n">
        <v>23</v>
      </c>
      <c r="V649" t="inlineStr">
        <is>
          <t>1997-02-14</t>
        </is>
      </c>
      <c r="W649" t="inlineStr">
        <is>
          <t>1993-10-06</t>
        </is>
      </c>
      <c r="X649" t="inlineStr">
        <is>
          <t>1993-10-06</t>
        </is>
      </c>
      <c r="Y649" t="n">
        <v>671</v>
      </c>
      <c r="Z649" t="n">
        <v>551</v>
      </c>
      <c r="AA649" t="n">
        <v>586</v>
      </c>
      <c r="AB649" t="n">
        <v>3</v>
      </c>
      <c r="AC649" t="n">
        <v>3</v>
      </c>
      <c r="AD649" t="n">
        <v>22</v>
      </c>
      <c r="AE649" t="n">
        <v>23</v>
      </c>
      <c r="AF649" t="n">
        <v>7</v>
      </c>
      <c r="AG649" t="n">
        <v>7</v>
      </c>
      <c r="AH649" t="n">
        <v>5</v>
      </c>
      <c r="AI649" t="n">
        <v>6</v>
      </c>
      <c r="AJ649" t="n">
        <v>12</v>
      </c>
      <c r="AK649" t="n">
        <v>12</v>
      </c>
      <c r="AL649" t="n">
        <v>2</v>
      </c>
      <c r="AM649" t="n">
        <v>2</v>
      </c>
      <c r="AN649" t="n">
        <v>0</v>
      </c>
      <c r="AO649" t="n">
        <v>0</v>
      </c>
      <c r="AP649" t="inlineStr">
        <is>
          <t>No</t>
        </is>
      </c>
      <c r="AQ649" t="inlineStr">
        <is>
          <t>Yes</t>
        </is>
      </c>
      <c r="AR649">
        <f>HYPERLINK("http://catalog.hathitrust.org/Record/000238439","HathiTrust Record")</f>
        <v/>
      </c>
      <c r="AS649">
        <f>HYPERLINK("https://creighton-primo.hosted.exlibrisgroup.com/primo-explore/search?tab=default_tab&amp;search_scope=EVERYTHING&amp;vid=01CRU&amp;lang=en_US&amp;offset=0&amp;query=any,contains,991003203899702656","Catalog Record")</f>
        <v/>
      </c>
      <c r="AT649">
        <f>HYPERLINK("http://www.worldcat.org/oclc/728826","WorldCat Record")</f>
        <v/>
      </c>
      <c r="AU649" t="inlineStr">
        <is>
          <t>4535710341:eng</t>
        </is>
      </c>
      <c r="AV649" t="inlineStr">
        <is>
          <t>728826</t>
        </is>
      </c>
      <c r="AW649" t="inlineStr">
        <is>
          <t>991003203899702656</t>
        </is>
      </c>
      <c r="AX649" t="inlineStr">
        <is>
          <t>991003203899702656</t>
        </is>
      </c>
      <c r="AY649" t="inlineStr">
        <is>
          <t>2263169370002656</t>
        </is>
      </c>
      <c r="AZ649" t="inlineStr">
        <is>
          <t>BOOK</t>
        </is>
      </c>
      <c r="BC649" t="inlineStr">
        <is>
          <t>32285001773588</t>
        </is>
      </c>
      <c r="BD649" t="inlineStr">
        <is>
          <t>893505326</t>
        </is>
      </c>
    </row>
    <row r="650">
      <c r="A650" t="inlineStr">
        <is>
          <t>No</t>
        </is>
      </c>
      <c r="B650" t="inlineStr">
        <is>
          <t>QD251 .R62</t>
        </is>
      </c>
      <c r="C650" t="inlineStr">
        <is>
          <t>0                      QD 0251000R  62</t>
        </is>
      </c>
      <c r="D650" t="inlineStr">
        <is>
          <t>Rodd's Chemistry of carbon compounds; a modern comprehensive treatise.</t>
        </is>
      </c>
      <c r="E650" t="inlineStr">
        <is>
          <t>V.3 PT.G</t>
        </is>
      </c>
      <c r="F650" t="inlineStr">
        <is>
          <t>Yes</t>
        </is>
      </c>
      <c r="G650" t="inlineStr">
        <is>
          <t>1</t>
        </is>
      </c>
      <c r="H650" t="inlineStr">
        <is>
          <t>No</t>
        </is>
      </c>
      <c r="I650" t="inlineStr">
        <is>
          <t>No</t>
        </is>
      </c>
      <c r="J650" t="inlineStr">
        <is>
          <t>0</t>
        </is>
      </c>
      <c r="K650" t="inlineStr">
        <is>
          <t>Rodd, E. H., editor.</t>
        </is>
      </c>
      <c r="L650" t="inlineStr">
        <is>
          <t>Amsterdam, New York, Elsevier Pub. Co., 1964-</t>
        </is>
      </c>
      <c r="M650" t="inlineStr">
        <is>
          <t>1964</t>
        </is>
      </c>
      <c r="N650" t="inlineStr">
        <is>
          <t>2d ed., edited by S. Coffey.</t>
        </is>
      </c>
      <c r="O650" t="inlineStr">
        <is>
          <t>eng</t>
        </is>
      </c>
      <c r="P650" t="inlineStr">
        <is>
          <t xml:space="preserve">ne </t>
        </is>
      </c>
      <c r="R650" t="inlineStr">
        <is>
          <t xml:space="preserve">QD </t>
        </is>
      </c>
      <c r="S650" t="n">
        <v>0</v>
      </c>
      <c r="T650" t="n">
        <v>23</v>
      </c>
      <c r="V650" t="inlineStr">
        <is>
          <t>1997-02-14</t>
        </is>
      </c>
      <c r="W650" t="inlineStr">
        <is>
          <t>1993-10-06</t>
        </is>
      </c>
      <c r="X650" t="inlineStr">
        <is>
          <t>1993-10-06</t>
        </is>
      </c>
      <c r="Y650" t="n">
        <v>671</v>
      </c>
      <c r="Z650" t="n">
        <v>551</v>
      </c>
      <c r="AA650" t="n">
        <v>586</v>
      </c>
      <c r="AB650" t="n">
        <v>3</v>
      </c>
      <c r="AC650" t="n">
        <v>3</v>
      </c>
      <c r="AD650" t="n">
        <v>22</v>
      </c>
      <c r="AE650" t="n">
        <v>23</v>
      </c>
      <c r="AF650" t="n">
        <v>7</v>
      </c>
      <c r="AG650" t="n">
        <v>7</v>
      </c>
      <c r="AH650" t="n">
        <v>5</v>
      </c>
      <c r="AI650" t="n">
        <v>6</v>
      </c>
      <c r="AJ650" t="n">
        <v>12</v>
      </c>
      <c r="AK650" t="n">
        <v>12</v>
      </c>
      <c r="AL650" t="n">
        <v>2</v>
      </c>
      <c r="AM650" t="n">
        <v>2</v>
      </c>
      <c r="AN650" t="n">
        <v>0</v>
      </c>
      <c r="AO650" t="n">
        <v>0</v>
      </c>
      <c r="AP650" t="inlineStr">
        <is>
          <t>No</t>
        </is>
      </c>
      <c r="AQ650" t="inlineStr">
        <is>
          <t>Yes</t>
        </is>
      </c>
      <c r="AR650">
        <f>HYPERLINK("http://catalog.hathitrust.org/Record/000238439","HathiTrust Record")</f>
        <v/>
      </c>
      <c r="AS650">
        <f>HYPERLINK("https://creighton-primo.hosted.exlibrisgroup.com/primo-explore/search?tab=default_tab&amp;search_scope=EVERYTHING&amp;vid=01CRU&amp;lang=en_US&amp;offset=0&amp;query=any,contains,991003203899702656","Catalog Record")</f>
        <v/>
      </c>
      <c r="AT650">
        <f>HYPERLINK("http://www.worldcat.org/oclc/728826","WorldCat Record")</f>
        <v/>
      </c>
      <c r="AU650" t="inlineStr">
        <is>
          <t>4535710341:eng</t>
        </is>
      </c>
      <c r="AV650" t="inlineStr">
        <is>
          <t>728826</t>
        </is>
      </c>
      <c r="AW650" t="inlineStr">
        <is>
          <t>991003203899702656</t>
        </is>
      </c>
      <c r="AX650" t="inlineStr">
        <is>
          <t>991003203899702656</t>
        </is>
      </c>
      <c r="AY650" t="inlineStr">
        <is>
          <t>2263169370002656</t>
        </is>
      </c>
      <c r="AZ650" t="inlineStr">
        <is>
          <t>BOOK</t>
        </is>
      </c>
      <c r="BC650" t="inlineStr">
        <is>
          <t>32285001773745</t>
        </is>
      </c>
      <c r="BD650" t="inlineStr">
        <is>
          <t>893505323</t>
        </is>
      </c>
    </row>
    <row r="651">
      <c r="A651" t="inlineStr">
        <is>
          <t>No</t>
        </is>
      </c>
      <c r="B651" t="inlineStr">
        <is>
          <t>QD251 .R62</t>
        </is>
      </c>
      <c r="C651" t="inlineStr">
        <is>
          <t>0                      QD 0251000R  62</t>
        </is>
      </c>
      <c r="D651" t="inlineStr">
        <is>
          <t>Rodd's Chemistry of carbon compounds; a modern comprehensive treatise.</t>
        </is>
      </c>
      <c r="E651" t="inlineStr">
        <is>
          <t>V.3 PT.C</t>
        </is>
      </c>
      <c r="F651" t="inlineStr">
        <is>
          <t>Yes</t>
        </is>
      </c>
      <c r="G651" t="inlineStr">
        <is>
          <t>1</t>
        </is>
      </c>
      <c r="H651" t="inlineStr">
        <is>
          <t>No</t>
        </is>
      </c>
      <c r="I651" t="inlineStr">
        <is>
          <t>No</t>
        </is>
      </c>
      <c r="J651" t="inlineStr">
        <is>
          <t>0</t>
        </is>
      </c>
      <c r="K651" t="inlineStr">
        <is>
          <t>Rodd, E. H., editor.</t>
        </is>
      </c>
      <c r="L651" t="inlineStr">
        <is>
          <t>Amsterdam, New York, Elsevier Pub. Co., 1964-</t>
        </is>
      </c>
      <c r="M651" t="inlineStr">
        <is>
          <t>1964</t>
        </is>
      </c>
      <c r="N651" t="inlineStr">
        <is>
          <t>2d ed., edited by S. Coffey.</t>
        </is>
      </c>
      <c r="O651" t="inlineStr">
        <is>
          <t>eng</t>
        </is>
      </c>
      <c r="P651" t="inlineStr">
        <is>
          <t xml:space="preserve">ne </t>
        </is>
      </c>
      <c r="R651" t="inlineStr">
        <is>
          <t xml:space="preserve">QD </t>
        </is>
      </c>
      <c r="S651" t="n">
        <v>1</v>
      </c>
      <c r="T651" t="n">
        <v>23</v>
      </c>
      <c r="V651" t="inlineStr">
        <is>
          <t>1997-02-14</t>
        </is>
      </c>
      <c r="W651" t="inlineStr">
        <is>
          <t>1993-10-06</t>
        </is>
      </c>
      <c r="X651" t="inlineStr">
        <is>
          <t>1993-10-06</t>
        </is>
      </c>
      <c r="Y651" t="n">
        <v>671</v>
      </c>
      <c r="Z651" t="n">
        <v>551</v>
      </c>
      <c r="AA651" t="n">
        <v>586</v>
      </c>
      <c r="AB651" t="n">
        <v>3</v>
      </c>
      <c r="AC651" t="n">
        <v>3</v>
      </c>
      <c r="AD651" t="n">
        <v>22</v>
      </c>
      <c r="AE651" t="n">
        <v>23</v>
      </c>
      <c r="AF651" t="n">
        <v>7</v>
      </c>
      <c r="AG651" t="n">
        <v>7</v>
      </c>
      <c r="AH651" t="n">
        <v>5</v>
      </c>
      <c r="AI651" t="n">
        <v>6</v>
      </c>
      <c r="AJ651" t="n">
        <v>12</v>
      </c>
      <c r="AK651" t="n">
        <v>12</v>
      </c>
      <c r="AL651" t="n">
        <v>2</v>
      </c>
      <c r="AM651" t="n">
        <v>2</v>
      </c>
      <c r="AN651" t="n">
        <v>0</v>
      </c>
      <c r="AO651" t="n">
        <v>0</v>
      </c>
      <c r="AP651" t="inlineStr">
        <is>
          <t>No</t>
        </is>
      </c>
      <c r="AQ651" t="inlineStr">
        <is>
          <t>Yes</t>
        </is>
      </c>
      <c r="AR651">
        <f>HYPERLINK("http://catalog.hathitrust.org/Record/000238439","HathiTrust Record")</f>
        <v/>
      </c>
      <c r="AS651">
        <f>HYPERLINK("https://creighton-primo.hosted.exlibrisgroup.com/primo-explore/search?tab=default_tab&amp;search_scope=EVERYTHING&amp;vid=01CRU&amp;lang=en_US&amp;offset=0&amp;query=any,contains,991003203899702656","Catalog Record")</f>
        <v/>
      </c>
      <c r="AT651">
        <f>HYPERLINK("http://www.worldcat.org/oclc/728826","WorldCat Record")</f>
        <v/>
      </c>
      <c r="AU651" t="inlineStr">
        <is>
          <t>4535710341:eng</t>
        </is>
      </c>
      <c r="AV651" t="inlineStr">
        <is>
          <t>728826</t>
        </is>
      </c>
      <c r="AW651" t="inlineStr">
        <is>
          <t>991003203899702656</t>
        </is>
      </c>
      <c r="AX651" t="inlineStr">
        <is>
          <t>991003203899702656</t>
        </is>
      </c>
      <c r="AY651" t="inlineStr">
        <is>
          <t>2263169370002656</t>
        </is>
      </c>
      <c r="AZ651" t="inlineStr">
        <is>
          <t>BOOK</t>
        </is>
      </c>
      <c r="BC651" t="inlineStr">
        <is>
          <t>32285001773687</t>
        </is>
      </c>
      <c r="BD651" t="inlineStr">
        <is>
          <t>893505315</t>
        </is>
      </c>
    </row>
    <row r="652">
      <c r="A652" t="inlineStr">
        <is>
          <t>No</t>
        </is>
      </c>
      <c r="B652" t="inlineStr">
        <is>
          <t>QD251 .R62</t>
        </is>
      </c>
      <c r="C652" t="inlineStr">
        <is>
          <t>0                      QD 0251000R  62</t>
        </is>
      </c>
      <c r="D652" t="inlineStr">
        <is>
          <t>Rodd's Chemistry of carbon compounds; a modern comprehensive treatise.</t>
        </is>
      </c>
      <c r="E652" t="inlineStr">
        <is>
          <t>V.3 PT.H</t>
        </is>
      </c>
      <c r="F652" t="inlineStr">
        <is>
          <t>Yes</t>
        </is>
      </c>
      <c r="G652" t="inlineStr">
        <is>
          <t>1</t>
        </is>
      </c>
      <c r="H652" t="inlineStr">
        <is>
          <t>No</t>
        </is>
      </c>
      <c r="I652" t="inlineStr">
        <is>
          <t>No</t>
        </is>
      </c>
      <c r="J652" t="inlineStr">
        <is>
          <t>0</t>
        </is>
      </c>
      <c r="K652" t="inlineStr">
        <is>
          <t>Rodd, E. H., editor.</t>
        </is>
      </c>
      <c r="L652" t="inlineStr">
        <is>
          <t>Amsterdam, New York, Elsevier Pub. Co., 1964-</t>
        </is>
      </c>
      <c r="M652" t="inlineStr">
        <is>
          <t>1964</t>
        </is>
      </c>
      <c r="N652" t="inlineStr">
        <is>
          <t>2d ed., edited by S. Coffey.</t>
        </is>
      </c>
      <c r="O652" t="inlineStr">
        <is>
          <t>eng</t>
        </is>
      </c>
      <c r="P652" t="inlineStr">
        <is>
          <t xml:space="preserve">ne </t>
        </is>
      </c>
      <c r="R652" t="inlineStr">
        <is>
          <t xml:space="preserve">QD </t>
        </is>
      </c>
      <c r="S652" t="n">
        <v>0</v>
      </c>
      <c r="T652" t="n">
        <v>23</v>
      </c>
      <c r="V652" t="inlineStr">
        <is>
          <t>1997-02-14</t>
        </is>
      </c>
      <c r="W652" t="inlineStr">
        <is>
          <t>1993-10-06</t>
        </is>
      </c>
      <c r="X652" t="inlineStr">
        <is>
          <t>1993-10-06</t>
        </is>
      </c>
      <c r="Y652" t="n">
        <v>671</v>
      </c>
      <c r="Z652" t="n">
        <v>551</v>
      </c>
      <c r="AA652" t="n">
        <v>586</v>
      </c>
      <c r="AB652" t="n">
        <v>3</v>
      </c>
      <c r="AC652" t="n">
        <v>3</v>
      </c>
      <c r="AD652" t="n">
        <v>22</v>
      </c>
      <c r="AE652" t="n">
        <v>23</v>
      </c>
      <c r="AF652" t="n">
        <v>7</v>
      </c>
      <c r="AG652" t="n">
        <v>7</v>
      </c>
      <c r="AH652" t="n">
        <v>5</v>
      </c>
      <c r="AI652" t="n">
        <v>6</v>
      </c>
      <c r="AJ652" t="n">
        <v>12</v>
      </c>
      <c r="AK652" t="n">
        <v>12</v>
      </c>
      <c r="AL652" t="n">
        <v>2</v>
      </c>
      <c r="AM652" t="n">
        <v>2</v>
      </c>
      <c r="AN652" t="n">
        <v>0</v>
      </c>
      <c r="AO652" t="n">
        <v>0</v>
      </c>
      <c r="AP652" t="inlineStr">
        <is>
          <t>No</t>
        </is>
      </c>
      <c r="AQ652" t="inlineStr">
        <is>
          <t>Yes</t>
        </is>
      </c>
      <c r="AR652">
        <f>HYPERLINK("http://catalog.hathitrust.org/Record/000238439","HathiTrust Record")</f>
        <v/>
      </c>
      <c r="AS652">
        <f>HYPERLINK("https://creighton-primo.hosted.exlibrisgroup.com/primo-explore/search?tab=default_tab&amp;search_scope=EVERYTHING&amp;vid=01CRU&amp;lang=en_US&amp;offset=0&amp;query=any,contains,991003203899702656","Catalog Record")</f>
        <v/>
      </c>
      <c r="AT652">
        <f>HYPERLINK("http://www.worldcat.org/oclc/728826","WorldCat Record")</f>
        <v/>
      </c>
      <c r="AU652" t="inlineStr">
        <is>
          <t>4535710341:eng</t>
        </is>
      </c>
      <c r="AV652" t="inlineStr">
        <is>
          <t>728826</t>
        </is>
      </c>
      <c r="AW652" t="inlineStr">
        <is>
          <t>991003203899702656</t>
        </is>
      </c>
      <c r="AX652" t="inlineStr">
        <is>
          <t>991003203899702656</t>
        </is>
      </c>
      <c r="AY652" t="inlineStr">
        <is>
          <t>2263169370002656</t>
        </is>
      </c>
      <c r="AZ652" t="inlineStr">
        <is>
          <t>BOOK</t>
        </is>
      </c>
      <c r="BC652" t="inlineStr">
        <is>
          <t>32285001773752</t>
        </is>
      </c>
      <c r="BD652" t="inlineStr">
        <is>
          <t>893524538</t>
        </is>
      </c>
    </row>
    <row r="653">
      <c r="A653" t="inlineStr">
        <is>
          <t>No</t>
        </is>
      </c>
      <c r="B653" t="inlineStr">
        <is>
          <t>QD251 .R62</t>
        </is>
      </c>
      <c r="C653" t="inlineStr">
        <is>
          <t>0                      QD 0251000R  62</t>
        </is>
      </c>
      <c r="D653" t="inlineStr">
        <is>
          <t>Rodd's Chemistry of carbon compounds; a modern comprehensive treatise.</t>
        </is>
      </c>
      <c r="E653" t="inlineStr">
        <is>
          <t>V.1 PT.D</t>
        </is>
      </c>
      <c r="F653" t="inlineStr">
        <is>
          <t>Yes</t>
        </is>
      </c>
      <c r="G653" t="inlineStr">
        <is>
          <t>1</t>
        </is>
      </c>
      <c r="H653" t="inlineStr">
        <is>
          <t>No</t>
        </is>
      </c>
      <c r="I653" t="inlineStr">
        <is>
          <t>No</t>
        </is>
      </c>
      <c r="J653" t="inlineStr">
        <is>
          <t>0</t>
        </is>
      </c>
      <c r="K653" t="inlineStr">
        <is>
          <t>Rodd, E. H., editor.</t>
        </is>
      </c>
      <c r="L653" t="inlineStr">
        <is>
          <t>Amsterdam, New York, Elsevier Pub. Co., 1964-</t>
        </is>
      </c>
      <c r="M653" t="inlineStr">
        <is>
          <t>1964</t>
        </is>
      </c>
      <c r="N653" t="inlineStr">
        <is>
          <t>2d ed., edited by S. Coffey.</t>
        </is>
      </c>
      <c r="O653" t="inlineStr">
        <is>
          <t>eng</t>
        </is>
      </c>
      <c r="P653" t="inlineStr">
        <is>
          <t xml:space="preserve">ne </t>
        </is>
      </c>
      <c r="R653" t="inlineStr">
        <is>
          <t xml:space="preserve">QD </t>
        </is>
      </c>
      <c r="S653" t="n">
        <v>0</v>
      </c>
      <c r="T653" t="n">
        <v>23</v>
      </c>
      <c r="V653" t="inlineStr">
        <is>
          <t>1997-02-14</t>
        </is>
      </c>
      <c r="W653" t="inlineStr">
        <is>
          <t>1993-10-06</t>
        </is>
      </c>
      <c r="X653" t="inlineStr">
        <is>
          <t>1993-10-06</t>
        </is>
      </c>
      <c r="Y653" t="n">
        <v>671</v>
      </c>
      <c r="Z653" t="n">
        <v>551</v>
      </c>
      <c r="AA653" t="n">
        <v>586</v>
      </c>
      <c r="AB653" t="n">
        <v>3</v>
      </c>
      <c r="AC653" t="n">
        <v>3</v>
      </c>
      <c r="AD653" t="n">
        <v>22</v>
      </c>
      <c r="AE653" t="n">
        <v>23</v>
      </c>
      <c r="AF653" t="n">
        <v>7</v>
      </c>
      <c r="AG653" t="n">
        <v>7</v>
      </c>
      <c r="AH653" t="n">
        <v>5</v>
      </c>
      <c r="AI653" t="n">
        <v>6</v>
      </c>
      <c r="AJ653" t="n">
        <v>12</v>
      </c>
      <c r="AK653" t="n">
        <v>12</v>
      </c>
      <c r="AL653" t="n">
        <v>2</v>
      </c>
      <c r="AM653" t="n">
        <v>2</v>
      </c>
      <c r="AN653" t="n">
        <v>0</v>
      </c>
      <c r="AO653" t="n">
        <v>0</v>
      </c>
      <c r="AP653" t="inlineStr">
        <is>
          <t>No</t>
        </is>
      </c>
      <c r="AQ653" t="inlineStr">
        <is>
          <t>Yes</t>
        </is>
      </c>
      <c r="AR653">
        <f>HYPERLINK("http://catalog.hathitrust.org/Record/000238439","HathiTrust Record")</f>
        <v/>
      </c>
      <c r="AS653">
        <f>HYPERLINK("https://creighton-primo.hosted.exlibrisgroup.com/primo-explore/search?tab=default_tab&amp;search_scope=EVERYTHING&amp;vid=01CRU&amp;lang=en_US&amp;offset=0&amp;query=any,contains,991003203899702656","Catalog Record")</f>
        <v/>
      </c>
      <c r="AT653">
        <f>HYPERLINK("http://www.worldcat.org/oclc/728826","WorldCat Record")</f>
        <v/>
      </c>
      <c r="AU653" t="inlineStr">
        <is>
          <t>4535710341:eng</t>
        </is>
      </c>
      <c r="AV653" t="inlineStr">
        <is>
          <t>728826</t>
        </is>
      </c>
      <c r="AW653" t="inlineStr">
        <is>
          <t>991003203899702656</t>
        </is>
      </c>
      <c r="AX653" t="inlineStr">
        <is>
          <t>991003203899702656</t>
        </is>
      </c>
      <c r="AY653" t="inlineStr">
        <is>
          <t>2263169370002656</t>
        </is>
      </c>
      <c r="AZ653" t="inlineStr">
        <is>
          <t>BOOK</t>
        </is>
      </c>
      <c r="BC653" t="inlineStr">
        <is>
          <t>32285001773547</t>
        </is>
      </c>
      <c r="BD653" t="inlineStr">
        <is>
          <t>893511674</t>
        </is>
      </c>
    </row>
    <row r="654">
      <c r="A654" t="inlineStr">
        <is>
          <t>No</t>
        </is>
      </c>
      <c r="B654" t="inlineStr">
        <is>
          <t>QD251 .R62</t>
        </is>
      </c>
      <c r="C654" t="inlineStr">
        <is>
          <t>0                      QD 0251000R  62</t>
        </is>
      </c>
      <c r="D654" t="inlineStr">
        <is>
          <t>Rodd's Chemistry of carbon compounds; a modern comprehensive treatise.</t>
        </is>
      </c>
      <c r="E654" t="inlineStr">
        <is>
          <t>V.2 PT.B</t>
        </is>
      </c>
      <c r="F654" t="inlineStr">
        <is>
          <t>Yes</t>
        </is>
      </c>
      <c r="G654" t="inlineStr">
        <is>
          <t>1</t>
        </is>
      </c>
      <c r="H654" t="inlineStr">
        <is>
          <t>No</t>
        </is>
      </c>
      <c r="I654" t="inlineStr">
        <is>
          <t>No</t>
        </is>
      </c>
      <c r="J654" t="inlineStr">
        <is>
          <t>0</t>
        </is>
      </c>
      <c r="K654" t="inlineStr">
        <is>
          <t>Rodd, E. H., editor.</t>
        </is>
      </c>
      <c r="L654" t="inlineStr">
        <is>
          <t>Amsterdam, New York, Elsevier Pub. Co., 1964-</t>
        </is>
      </c>
      <c r="M654" t="inlineStr">
        <is>
          <t>1964</t>
        </is>
      </c>
      <c r="N654" t="inlineStr">
        <is>
          <t>2d ed., edited by S. Coffey.</t>
        </is>
      </c>
      <c r="O654" t="inlineStr">
        <is>
          <t>eng</t>
        </is>
      </c>
      <c r="P654" t="inlineStr">
        <is>
          <t xml:space="preserve">ne </t>
        </is>
      </c>
      <c r="R654" t="inlineStr">
        <is>
          <t xml:space="preserve">QD </t>
        </is>
      </c>
      <c r="S654" t="n">
        <v>0</v>
      </c>
      <c r="T654" t="n">
        <v>23</v>
      </c>
      <c r="V654" t="inlineStr">
        <is>
          <t>1997-02-14</t>
        </is>
      </c>
      <c r="W654" t="inlineStr">
        <is>
          <t>1993-10-06</t>
        </is>
      </c>
      <c r="X654" t="inlineStr">
        <is>
          <t>1993-10-06</t>
        </is>
      </c>
      <c r="Y654" t="n">
        <v>671</v>
      </c>
      <c r="Z654" t="n">
        <v>551</v>
      </c>
      <c r="AA654" t="n">
        <v>586</v>
      </c>
      <c r="AB654" t="n">
        <v>3</v>
      </c>
      <c r="AC654" t="n">
        <v>3</v>
      </c>
      <c r="AD654" t="n">
        <v>22</v>
      </c>
      <c r="AE654" t="n">
        <v>23</v>
      </c>
      <c r="AF654" t="n">
        <v>7</v>
      </c>
      <c r="AG654" t="n">
        <v>7</v>
      </c>
      <c r="AH654" t="n">
        <v>5</v>
      </c>
      <c r="AI654" t="n">
        <v>6</v>
      </c>
      <c r="AJ654" t="n">
        <v>12</v>
      </c>
      <c r="AK654" t="n">
        <v>12</v>
      </c>
      <c r="AL654" t="n">
        <v>2</v>
      </c>
      <c r="AM654" t="n">
        <v>2</v>
      </c>
      <c r="AN654" t="n">
        <v>0</v>
      </c>
      <c r="AO654" t="n">
        <v>0</v>
      </c>
      <c r="AP654" t="inlineStr">
        <is>
          <t>No</t>
        </is>
      </c>
      <c r="AQ654" t="inlineStr">
        <is>
          <t>Yes</t>
        </is>
      </c>
      <c r="AR654">
        <f>HYPERLINK("http://catalog.hathitrust.org/Record/000238439","HathiTrust Record")</f>
        <v/>
      </c>
      <c r="AS654">
        <f>HYPERLINK("https://creighton-primo.hosted.exlibrisgroup.com/primo-explore/search?tab=default_tab&amp;search_scope=EVERYTHING&amp;vid=01CRU&amp;lang=en_US&amp;offset=0&amp;query=any,contains,991003203899702656","Catalog Record")</f>
        <v/>
      </c>
      <c r="AT654">
        <f>HYPERLINK("http://www.worldcat.org/oclc/728826","WorldCat Record")</f>
        <v/>
      </c>
      <c r="AU654" t="inlineStr">
        <is>
          <t>4535710341:eng</t>
        </is>
      </c>
      <c r="AV654" t="inlineStr">
        <is>
          <t>728826</t>
        </is>
      </c>
      <c r="AW654" t="inlineStr">
        <is>
          <t>991003203899702656</t>
        </is>
      </c>
      <c r="AX654" t="inlineStr">
        <is>
          <t>991003203899702656</t>
        </is>
      </c>
      <c r="AY654" t="inlineStr">
        <is>
          <t>2263169370002656</t>
        </is>
      </c>
      <c r="AZ654" t="inlineStr">
        <is>
          <t>BOOK</t>
        </is>
      </c>
      <c r="BC654" t="inlineStr">
        <is>
          <t>32285001773612</t>
        </is>
      </c>
      <c r="BD654" t="inlineStr">
        <is>
          <t>893511672</t>
        </is>
      </c>
    </row>
    <row r="655">
      <c r="A655" t="inlineStr">
        <is>
          <t>No</t>
        </is>
      </c>
      <c r="B655" t="inlineStr">
        <is>
          <t>QD251 .R62</t>
        </is>
      </c>
      <c r="C655" t="inlineStr">
        <is>
          <t>0                      QD 0251000R  62</t>
        </is>
      </c>
      <c r="D655" t="inlineStr">
        <is>
          <t>Rodd's Chemistry of carbon compounds; a modern comprehensive treatise.</t>
        </is>
      </c>
      <c r="E655" t="inlineStr">
        <is>
          <t>V.4 PT.A</t>
        </is>
      </c>
      <c r="F655" t="inlineStr">
        <is>
          <t>Yes</t>
        </is>
      </c>
      <c r="G655" t="inlineStr">
        <is>
          <t>1</t>
        </is>
      </c>
      <c r="H655" t="inlineStr">
        <is>
          <t>No</t>
        </is>
      </c>
      <c r="I655" t="inlineStr">
        <is>
          <t>No</t>
        </is>
      </c>
      <c r="J655" t="inlineStr">
        <is>
          <t>0</t>
        </is>
      </c>
      <c r="K655" t="inlineStr">
        <is>
          <t>Rodd, E. H., editor.</t>
        </is>
      </c>
      <c r="L655" t="inlineStr">
        <is>
          <t>Amsterdam, New York, Elsevier Pub. Co., 1964-</t>
        </is>
      </c>
      <c r="M655" t="inlineStr">
        <is>
          <t>1964</t>
        </is>
      </c>
      <c r="N655" t="inlineStr">
        <is>
          <t>2d ed., edited by S. Coffey.</t>
        </is>
      </c>
      <c r="O655" t="inlineStr">
        <is>
          <t>eng</t>
        </is>
      </c>
      <c r="P655" t="inlineStr">
        <is>
          <t xml:space="preserve">ne </t>
        </is>
      </c>
      <c r="R655" t="inlineStr">
        <is>
          <t xml:space="preserve">QD </t>
        </is>
      </c>
      <c r="S655" t="n">
        <v>0</v>
      </c>
      <c r="T655" t="n">
        <v>23</v>
      </c>
      <c r="V655" t="inlineStr">
        <is>
          <t>1997-02-14</t>
        </is>
      </c>
      <c r="W655" t="inlineStr">
        <is>
          <t>1993-10-06</t>
        </is>
      </c>
      <c r="X655" t="inlineStr">
        <is>
          <t>1993-10-06</t>
        </is>
      </c>
      <c r="Y655" t="n">
        <v>671</v>
      </c>
      <c r="Z655" t="n">
        <v>551</v>
      </c>
      <c r="AA655" t="n">
        <v>586</v>
      </c>
      <c r="AB655" t="n">
        <v>3</v>
      </c>
      <c r="AC655" t="n">
        <v>3</v>
      </c>
      <c r="AD655" t="n">
        <v>22</v>
      </c>
      <c r="AE655" t="n">
        <v>23</v>
      </c>
      <c r="AF655" t="n">
        <v>7</v>
      </c>
      <c r="AG655" t="n">
        <v>7</v>
      </c>
      <c r="AH655" t="n">
        <v>5</v>
      </c>
      <c r="AI655" t="n">
        <v>6</v>
      </c>
      <c r="AJ655" t="n">
        <v>12</v>
      </c>
      <c r="AK655" t="n">
        <v>12</v>
      </c>
      <c r="AL655" t="n">
        <v>2</v>
      </c>
      <c r="AM655" t="n">
        <v>2</v>
      </c>
      <c r="AN655" t="n">
        <v>0</v>
      </c>
      <c r="AO655" t="n">
        <v>0</v>
      </c>
      <c r="AP655" t="inlineStr">
        <is>
          <t>No</t>
        </is>
      </c>
      <c r="AQ655" t="inlineStr">
        <is>
          <t>Yes</t>
        </is>
      </c>
      <c r="AR655">
        <f>HYPERLINK("http://catalog.hathitrust.org/Record/000238439","HathiTrust Record")</f>
        <v/>
      </c>
      <c r="AS655">
        <f>HYPERLINK("https://creighton-primo.hosted.exlibrisgroup.com/primo-explore/search?tab=default_tab&amp;search_scope=EVERYTHING&amp;vid=01CRU&amp;lang=en_US&amp;offset=0&amp;query=any,contains,991003203899702656","Catalog Record")</f>
        <v/>
      </c>
      <c r="AT655">
        <f>HYPERLINK("http://www.worldcat.org/oclc/728826","WorldCat Record")</f>
        <v/>
      </c>
      <c r="AU655" t="inlineStr">
        <is>
          <t>4535710341:eng</t>
        </is>
      </c>
      <c r="AV655" t="inlineStr">
        <is>
          <t>728826</t>
        </is>
      </c>
      <c r="AW655" t="inlineStr">
        <is>
          <t>991003203899702656</t>
        </is>
      </c>
      <c r="AX655" t="inlineStr">
        <is>
          <t>991003203899702656</t>
        </is>
      </c>
      <c r="AY655" t="inlineStr">
        <is>
          <t>2263169370002656</t>
        </is>
      </c>
      <c r="AZ655" t="inlineStr">
        <is>
          <t>BOOK</t>
        </is>
      </c>
      <c r="BC655" t="inlineStr">
        <is>
          <t>32285001773760</t>
        </is>
      </c>
      <c r="BD655" t="inlineStr">
        <is>
          <t>893511671</t>
        </is>
      </c>
    </row>
    <row r="656">
      <c r="A656" t="inlineStr">
        <is>
          <t>No</t>
        </is>
      </c>
      <c r="B656" t="inlineStr">
        <is>
          <t>QD251 .R62</t>
        </is>
      </c>
      <c r="C656" t="inlineStr">
        <is>
          <t>0                      QD 0251000R  62</t>
        </is>
      </c>
      <c r="D656" t="inlineStr">
        <is>
          <t>Rodd's Chemistry of carbon compounds; a modern comprehensive treatise.</t>
        </is>
      </c>
      <c r="E656" t="inlineStr">
        <is>
          <t>V.3 PT.D,E,F</t>
        </is>
      </c>
      <c r="F656" t="inlineStr">
        <is>
          <t>Yes</t>
        </is>
      </c>
      <c r="G656" t="inlineStr">
        <is>
          <t>1</t>
        </is>
      </c>
      <c r="H656" t="inlineStr">
        <is>
          <t>No</t>
        </is>
      </c>
      <c r="I656" t="inlineStr">
        <is>
          <t>No</t>
        </is>
      </c>
      <c r="J656" t="inlineStr">
        <is>
          <t>0</t>
        </is>
      </c>
      <c r="K656" t="inlineStr">
        <is>
          <t>Rodd, E. H., editor.</t>
        </is>
      </c>
      <c r="L656" t="inlineStr">
        <is>
          <t>Amsterdam, New York, Elsevier Pub. Co., 1964-</t>
        </is>
      </c>
      <c r="M656" t="inlineStr">
        <is>
          <t>1964</t>
        </is>
      </c>
      <c r="N656" t="inlineStr">
        <is>
          <t>2d ed., edited by S. Coffey.</t>
        </is>
      </c>
      <c r="O656" t="inlineStr">
        <is>
          <t>eng</t>
        </is>
      </c>
      <c r="P656" t="inlineStr">
        <is>
          <t xml:space="preserve">ne </t>
        </is>
      </c>
      <c r="R656" t="inlineStr">
        <is>
          <t xml:space="preserve">QD </t>
        </is>
      </c>
      <c r="S656" t="n">
        <v>0</v>
      </c>
      <c r="T656" t="n">
        <v>23</v>
      </c>
      <c r="V656" t="inlineStr">
        <is>
          <t>1997-02-14</t>
        </is>
      </c>
      <c r="W656" t="inlineStr">
        <is>
          <t>1993-10-06</t>
        </is>
      </c>
      <c r="X656" t="inlineStr">
        <is>
          <t>1993-10-06</t>
        </is>
      </c>
      <c r="Y656" t="n">
        <v>671</v>
      </c>
      <c r="Z656" t="n">
        <v>551</v>
      </c>
      <c r="AA656" t="n">
        <v>586</v>
      </c>
      <c r="AB656" t="n">
        <v>3</v>
      </c>
      <c r="AC656" t="n">
        <v>3</v>
      </c>
      <c r="AD656" t="n">
        <v>22</v>
      </c>
      <c r="AE656" t="n">
        <v>23</v>
      </c>
      <c r="AF656" t="n">
        <v>7</v>
      </c>
      <c r="AG656" t="n">
        <v>7</v>
      </c>
      <c r="AH656" t="n">
        <v>5</v>
      </c>
      <c r="AI656" t="n">
        <v>6</v>
      </c>
      <c r="AJ656" t="n">
        <v>12</v>
      </c>
      <c r="AK656" t="n">
        <v>12</v>
      </c>
      <c r="AL656" t="n">
        <v>2</v>
      </c>
      <c r="AM656" t="n">
        <v>2</v>
      </c>
      <c r="AN656" t="n">
        <v>0</v>
      </c>
      <c r="AO656" t="n">
        <v>0</v>
      </c>
      <c r="AP656" t="inlineStr">
        <is>
          <t>No</t>
        </is>
      </c>
      <c r="AQ656" t="inlineStr">
        <is>
          <t>Yes</t>
        </is>
      </c>
      <c r="AR656">
        <f>HYPERLINK("http://catalog.hathitrust.org/Record/000238439","HathiTrust Record")</f>
        <v/>
      </c>
      <c r="AS656">
        <f>HYPERLINK("https://creighton-primo.hosted.exlibrisgroup.com/primo-explore/search?tab=default_tab&amp;search_scope=EVERYTHING&amp;vid=01CRU&amp;lang=en_US&amp;offset=0&amp;query=any,contains,991003203899702656","Catalog Record")</f>
        <v/>
      </c>
      <c r="AT656">
        <f>HYPERLINK("http://www.worldcat.org/oclc/728826","WorldCat Record")</f>
        <v/>
      </c>
      <c r="AU656" t="inlineStr">
        <is>
          <t>4535710341:eng</t>
        </is>
      </c>
      <c r="AV656" t="inlineStr">
        <is>
          <t>728826</t>
        </is>
      </c>
      <c r="AW656" t="inlineStr">
        <is>
          <t>991003203899702656</t>
        </is>
      </c>
      <c r="AX656" t="inlineStr">
        <is>
          <t>991003203899702656</t>
        </is>
      </c>
      <c r="AY656" t="inlineStr">
        <is>
          <t>2263169370002656</t>
        </is>
      </c>
      <c r="AZ656" t="inlineStr">
        <is>
          <t>BOOK</t>
        </is>
      </c>
      <c r="BC656" t="inlineStr">
        <is>
          <t>32285001773737</t>
        </is>
      </c>
      <c r="BD656" t="inlineStr">
        <is>
          <t>893499045</t>
        </is>
      </c>
    </row>
    <row r="657">
      <c r="A657" t="inlineStr">
        <is>
          <t>No</t>
        </is>
      </c>
      <c r="B657" t="inlineStr">
        <is>
          <t>QD251 .W49 1960</t>
        </is>
      </c>
      <c r="C657" t="inlineStr">
        <is>
          <t>0                      QD 0251000W  49          1960</t>
        </is>
      </c>
      <c r="D657" t="inlineStr">
        <is>
          <t>Advanced organic chemistry.</t>
        </is>
      </c>
      <c r="F657" t="inlineStr">
        <is>
          <t>No</t>
        </is>
      </c>
      <c r="G657" t="inlineStr">
        <is>
          <t>1</t>
        </is>
      </c>
      <c r="H657" t="inlineStr">
        <is>
          <t>No</t>
        </is>
      </c>
      <c r="I657" t="inlineStr">
        <is>
          <t>No</t>
        </is>
      </c>
      <c r="J657" t="inlineStr">
        <is>
          <t>0</t>
        </is>
      </c>
      <c r="K657" t="inlineStr">
        <is>
          <t>Wheland, George Willard, 1907-</t>
        </is>
      </c>
      <c r="L657" t="inlineStr">
        <is>
          <t>New York : Wiley, [1960]</t>
        </is>
      </c>
      <c r="M657" t="inlineStr">
        <is>
          <t>1960</t>
        </is>
      </c>
      <c r="N657" t="inlineStr">
        <is>
          <t>3d ed.</t>
        </is>
      </c>
      <c r="O657" t="inlineStr">
        <is>
          <t>eng</t>
        </is>
      </c>
      <c r="P657" t="inlineStr">
        <is>
          <t>nyu</t>
        </is>
      </c>
      <c r="R657" t="inlineStr">
        <is>
          <t xml:space="preserve">QD </t>
        </is>
      </c>
      <c r="S657" t="n">
        <v>3</v>
      </c>
      <c r="T657" t="n">
        <v>3</v>
      </c>
      <c r="U657" t="inlineStr">
        <is>
          <t>2006-05-05</t>
        </is>
      </c>
      <c r="V657" t="inlineStr">
        <is>
          <t>2006-05-05</t>
        </is>
      </c>
      <c r="W657" t="inlineStr">
        <is>
          <t>1992-02-20</t>
        </is>
      </c>
      <c r="X657" t="inlineStr">
        <is>
          <t>1992-02-20</t>
        </is>
      </c>
      <c r="Y657" t="n">
        <v>492</v>
      </c>
      <c r="Z657" t="n">
        <v>385</v>
      </c>
      <c r="AA657" t="n">
        <v>500</v>
      </c>
      <c r="AB657" t="n">
        <v>4</v>
      </c>
      <c r="AC657" t="n">
        <v>5</v>
      </c>
      <c r="AD657" t="n">
        <v>17</v>
      </c>
      <c r="AE657" t="n">
        <v>26</v>
      </c>
      <c r="AF657" t="n">
        <v>7</v>
      </c>
      <c r="AG657" t="n">
        <v>9</v>
      </c>
      <c r="AH657" t="n">
        <v>4</v>
      </c>
      <c r="AI657" t="n">
        <v>4</v>
      </c>
      <c r="AJ657" t="n">
        <v>6</v>
      </c>
      <c r="AK657" t="n">
        <v>13</v>
      </c>
      <c r="AL657" t="n">
        <v>3</v>
      </c>
      <c r="AM657" t="n">
        <v>4</v>
      </c>
      <c r="AN657" t="n">
        <v>0</v>
      </c>
      <c r="AO657" t="n">
        <v>0</v>
      </c>
      <c r="AP657" t="inlineStr">
        <is>
          <t>Yes</t>
        </is>
      </c>
      <c r="AQ657" t="inlineStr">
        <is>
          <t>No</t>
        </is>
      </c>
      <c r="AR657">
        <f>HYPERLINK("http://catalog.hathitrust.org/Record/001112668","HathiTrust Record")</f>
        <v/>
      </c>
      <c r="AS657">
        <f>HYPERLINK("https://creighton-primo.hosted.exlibrisgroup.com/primo-explore/search?tab=default_tab&amp;search_scope=EVERYTHING&amp;vid=01CRU&amp;lang=en_US&amp;offset=0&amp;query=any,contains,991002955309702656","Catalog Record")</f>
        <v/>
      </c>
      <c r="AT657">
        <f>HYPERLINK("http://www.worldcat.org/oclc/541780","WorldCat Record")</f>
        <v/>
      </c>
      <c r="AU657" t="inlineStr">
        <is>
          <t>1570300:eng</t>
        </is>
      </c>
      <c r="AV657" t="inlineStr">
        <is>
          <t>541780</t>
        </is>
      </c>
      <c r="AW657" t="inlineStr">
        <is>
          <t>991002955309702656</t>
        </is>
      </c>
      <c r="AX657" t="inlineStr">
        <is>
          <t>991002955309702656</t>
        </is>
      </c>
      <c r="AY657" t="inlineStr">
        <is>
          <t>2268231210002656</t>
        </is>
      </c>
      <c r="AZ657" t="inlineStr">
        <is>
          <t>BOOK</t>
        </is>
      </c>
      <c r="BC657" t="inlineStr">
        <is>
          <t>32285000972074</t>
        </is>
      </c>
      <c r="BD657" t="inlineStr">
        <is>
          <t>893323567</t>
        </is>
      </c>
    </row>
    <row r="658">
      <c r="A658" t="inlineStr">
        <is>
          <t>No</t>
        </is>
      </c>
      <c r="B658" t="inlineStr">
        <is>
          <t>QD251.2 .M435 1996</t>
        </is>
      </c>
      <c r="C658" t="inlineStr">
        <is>
          <t>0                      QD 0251200M  435         1996</t>
        </is>
      </c>
      <c r="D658" t="inlineStr">
        <is>
          <t>Functional groups : characteristics and interconversions / G. Denis Meakins.</t>
        </is>
      </c>
      <c r="F658" t="inlineStr">
        <is>
          <t>No</t>
        </is>
      </c>
      <c r="G658" t="inlineStr">
        <is>
          <t>1</t>
        </is>
      </c>
      <c r="H658" t="inlineStr">
        <is>
          <t>No</t>
        </is>
      </c>
      <c r="I658" t="inlineStr">
        <is>
          <t>No</t>
        </is>
      </c>
      <c r="J658" t="inlineStr">
        <is>
          <t>0</t>
        </is>
      </c>
      <c r="K658" t="inlineStr">
        <is>
          <t>Meakins, G. Denis.</t>
        </is>
      </c>
      <c r="L658" t="inlineStr">
        <is>
          <t>Oxford ; New York : Oxford University Press, 1996.</t>
        </is>
      </c>
      <c r="M658" t="inlineStr">
        <is>
          <t>1996</t>
        </is>
      </c>
      <c r="O658" t="inlineStr">
        <is>
          <t>eng</t>
        </is>
      </c>
      <c r="P658" t="inlineStr">
        <is>
          <t>enk</t>
        </is>
      </c>
      <c r="Q658" t="inlineStr">
        <is>
          <t>Oxford chemistry primers ; 35</t>
        </is>
      </c>
      <c r="R658" t="inlineStr">
        <is>
          <t xml:space="preserve">QD </t>
        </is>
      </c>
      <c r="S658" t="n">
        <v>4</v>
      </c>
      <c r="T658" t="n">
        <v>4</v>
      </c>
      <c r="U658" t="inlineStr">
        <is>
          <t>1997-09-22</t>
        </is>
      </c>
      <c r="V658" t="inlineStr">
        <is>
          <t>1997-09-22</t>
        </is>
      </c>
      <c r="W658" t="inlineStr">
        <is>
          <t>1996-11-14</t>
        </is>
      </c>
      <c r="X658" t="inlineStr">
        <is>
          <t>1996-11-14</t>
        </is>
      </c>
      <c r="Y658" t="n">
        <v>284</v>
      </c>
      <c r="Z658" t="n">
        <v>172</v>
      </c>
      <c r="AA658" t="n">
        <v>178</v>
      </c>
      <c r="AB658" t="n">
        <v>2</v>
      </c>
      <c r="AC658" t="n">
        <v>2</v>
      </c>
      <c r="AD658" t="n">
        <v>8</v>
      </c>
      <c r="AE658" t="n">
        <v>8</v>
      </c>
      <c r="AF658" t="n">
        <v>1</v>
      </c>
      <c r="AG658" t="n">
        <v>1</v>
      </c>
      <c r="AH658" t="n">
        <v>2</v>
      </c>
      <c r="AI658" t="n">
        <v>2</v>
      </c>
      <c r="AJ658" t="n">
        <v>6</v>
      </c>
      <c r="AK658" t="n">
        <v>6</v>
      </c>
      <c r="AL658" t="n">
        <v>1</v>
      </c>
      <c r="AM658" t="n">
        <v>1</v>
      </c>
      <c r="AN658" t="n">
        <v>0</v>
      </c>
      <c r="AO658" t="n">
        <v>0</v>
      </c>
      <c r="AP658" t="inlineStr">
        <is>
          <t>No</t>
        </is>
      </c>
      <c r="AQ658" t="inlineStr">
        <is>
          <t>Yes</t>
        </is>
      </c>
      <c r="AR658">
        <f>HYPERLINK("http://catalog.hathitrust.org/Record/101979041","HathiTrust Record")</f>
        <v/>
      </c>
      <c r="AS658">
        <f>HYPERLINK("https://creighton-primo.hosted.exlibrisgroup.com/primo-explore/search?tab=default_tab&amp;search_scope=EVERYTHING&amp;vid=01CRU&amp;lang=en_US&amp;offset=0&amp;query=any,contains,991002699659702656","Catalog Record")</f>
        <v/>
      </c>
      <c r="AT658">
        <f>HYPERLINK("http://www.worldcat.org/oclc/35243999","WorldCat Record")</f>
        <v/>
      </c>
      <c r="AU658" t="inlineStr">
        <is>
          <t>327128067:eng</t>
        </is>
      </c>
      <c r="AV658" t="inlineStr">
        <is>
          <t>35243999</t>
        </is>
      </c>
      <c r="AW658" t="inlineStr">
        <is>
          <t>991002699659702656</t>
        </is>
      </c>
      <c r="AX658" t="inlineStr">
        <is>
          <t>991002699659702656</t>
        </is>
      </c>
      <c r="AY658" t="inlineStr">
        <is>
          <t>2258387910002656</t>
        </is>
      </c>
      <c r="AZ658" t="inlineStr">
        <is>
          <t>BOOK</t>
        </is>
      </c>
      <c r="BB658" t="inlineStr">
        <is>
          <t>9780198558675</t>
        </is>
      </c>
      <c r="BC658" t="inlineStr">
        <is>
          <t>32285002373131</t>
        </is>
      </c>
      <c r="BD658" t="inlineStr">
        <is>
          <t>893245526</t>
        </is>
      </c>
    </row>
    <row r="659">
      <c r="A659" t="inlineStr">
        <is>
          <t>No</t>
        </is>
      </c>
      <c r="B659" t="inlineStr">
        <is>
          <t>QD251.2 .S39 1992</t>
        </is>
      </c>
      <c r="C659" t="inlineStr">
        <is>
          <t>0                      QD 0251200S  39          1992</t>
        </is>
      </c>
      <c r="D659" t="inlineStr">
        <is>
          <t>Electron flow in organic chemistry / Paul H. Scudder.</t>
        </is>
      </c>
      <c r="F659" t="inlineStr">
        <is>
          <t>No</t>
        </is>
      </c>
      <c r="G659" t="inlineStr">
        <is>
          <t>1</t>
        </is>
      </c>
      <c r="H659" t="inlineStr">
        <is>
          <t>No</t>
        </is>
      </c>
      <c r="I659" t="inlineStr">
        <is>
          <t>No</t>
        </is>
      </c>
      <c r="J659" t="inlineStr">
        <is>
          <t>0</t>
        </is>
      </c>
      <c r="K659" t="inlineStr">
        <is>
          <t>Scudder, Paul H.</t>
        </is>
      </c>
      <c r="L659" t="inlineStr">
        <is>
          <t>New York : Wiley, c1992.</t>
        </is>
      </c>
      <c r="M659" t="inlineStr">
        <is>
          <t>1992</t>
        </is>
      </c>
      <c r="O659" t="inlineStr">
        <is>
          <t>eng</t>
        </is>
      </c>
      <c r="P659" t="inlineStr">
        <is>
          <t>nyu</t>
        </is>
      </c>
      <c r="R659" t="inlineStr">
        <is>
          <t xml:space="preserve">QD </t>
        </is>
      </c>
      <c r="S659" t="n">
        <v>10</v>
      </c>
      <c r="T659" t="n">
        <v>10</v>
      </c>
      <c r="U659" t="inlineStr">
        <is>
          <t>2008-09-10</t>
        </is>
      </c>
      <c r="V659" t="inlineStr">
        <is>
          <t>2008-09-10</t>
        </is>
      </c>
      <c r="W659" t="inlineStr">
        <is>
          <t>1992-10-08</t>
        </is>
      </c>
      <c r="X659" t="inlineStr">
        <is>
          <t>1992-10-08</t>
        </is>
      </c>
      <c r="Y659" t="n">
        <v>343</v>
      </c>
      <c r="Z659" t="n">
        <v>256</v>
      </c>
      <c r="AA659" t="n">
        <v>749</v>
      </c>
      <c r="AB659" t="n">
        <v>2</v>
      </c>
      <c r="AC659" t="n">
        <v>7</v>
      </c>
      <c r="AD659" t="n">
        <v>16</v>
      </c>
      <c r="AE659" t="n">
        <v>38</v>
      </c>
      <c r="AF659" t="n">
        <v>8</v>
      </c>
      <c r="AG659" t="n">
        <v>16</v>
      </c>
      <c r="AH659" t="n">
        <v>3</v>
      </c>
      <c r="AI659" t="n">
        <v>8</v>
      </c>
      <c r="AJ659" t="n">
        <v>9</v>
      </c>
      <c r="AK659" t="n">
        <v>18</v>
      </c>
      <c r="AL659" t="n">
        <v>1</v>
      </c>
      <c r="AM659" t="n">
        <v>6</v>
      </c>
      <c r="AN659" t="n">
        <v>0</v>
      </c>
      <c r="AO659" t="n">
        <v>1</v>
      </c>
      <c r="AP659" t="inlineStr">
        <is>
          <t>No</t>
        </is>
      </c>
      <c r="AQ659" t="inlineStr">
        <is>
          <t>Yes</t>
        </is>
      </c>
      <c r="AR659">
        <f>HYPERLINK("http://catalog.hathitrust.org/Record/002534282","HathiTrust Record")</f>
        <v/>
      </c>
      <c r="AS659">
        <f>HYPERLINK("https://creighton-primo.hosted.exlibrisgroup.com/primo-explore/search?tab=default_tab&amp;search_scope=EVERYTHING&amp;vid=01CRU&amp;lang=en_US&amp;offset=0&amp;query=any,contains,991001957549702656","Catalog Record")</f>
        <v/>
      </c>
      <c r="AT659">
        <f>HYPERLINK("http://www.worldcat.org/oclc/24794177","WorldCat Record")</f>
        <v/>
      </c>
      <c r="AU659" t="inlineStr">
        <is>
          <t>43465544:eng</t>
        </is>
      </c>
      <c r="AV659" t="inlineStr">
        <is>
          <t>24794177</t>
        </is>
      </c>
      <c r="AW659" t="inlineStr">
        <is>
          <t>991001957549702656</t>
        </is>
      </c>
      <c r="AX659" t="inlineStr">
        <is>
          <t>991001957549702656</t>
        </is>
      </c>
      <c r="AY659" t="inlineStr">
        <is>
          <t>2260224940002656</t>
        </is>
      </c>
      <c r="AZ659" t="inlineStr">
        <is>
          <t>BOOK</t>
        </is>
      </c>
      <c r="BB659" t="inlineStr">
        <is>
          <t>9780471613817</t>
        </is>
      </c>
      <c r="BC659" t="inlineStr">
        <is>
          <t>32285001316628</t>
        </is>
      </c>
      <c r="BD659" t="inlineStr">
        <is>
          <t>893256693</t>
        </is>
      </c>
    </row>
    <row r="660">
      <c r="A660" t="inlineStr">
        <is>
          <t>No</t>
        </is>
      </c>
      <c r="B660" t="inlineStr">
        <is>
          <t>QD251.2 .S75 1988</t>
        </is>
      </c>
      <c r="C660" t="inlineStr">
        <is>
          <t>0                      QD 0251200S  75          1988</t>
        </is>
      </c>
      <c r="D660" t="inlineStr">
        <is>
          <t>Intermediate organic chemistry / John C. Stowell.</t>
        </is>
      </c>
      <c r="F660" t="inlineStr">
        <is>
          <t>No</t>
        </is>
      </c>
      <c r="G660" t="inlineStr">
        <is>
          <t>1</t>
        </is>
      </c>
      <c r="H660" t="inlineStr">
        <is>
          <t>No</t>
        </is>
      </c>
      <c r="I660" t="inlineStr">
        <is>
          <t>No</t>
        </is>
      </c>
      <c r="J660" t="inlineStr">
        <is>
          <t>0</t>
        </is>
      </c>
      <c r="K660" t="inlineStr">
        <is>
          <t>Stowell, John C. (John Charles), 1938-1996.</t>
        </is>
      </c>
      <c r="L660" t="inlineStr">
        <is>
          <t>New York : Wiley, c1988.</t>
        </is>
      </c>
      <c r="M660" t="inlineStr">
        <is>
          <t>1988</t>
        </is>
      </c>
      <c r="O660" t="inlineStr">
        <is>
          <t>eng</t>
        </is>
      </c>
      <c r="P660" t="inlineStr">
        <is>
          <t>nyu</t>
        </is>
      </c>
      <c r="R660" t="inlineStr">
        <is>
          <t xml:space="preserve">QD </t>
        </is>
      </c>
      <c r="S660" t="n">
        <v>5</v>
      </c>
      <c r="T660" t="n">
        <v>5</v>
      </c>
      <c r="U660" t="inlineStr">
        <is>
          <t>1995-03-23</t>
        </is>
      </c>
      <c r="V660" t="inlineStr">
        <is>
          <t>1995-03-23</t>
        </is>
      </c>
      <c r="W660" t="inlineStr">
        <is>
          <t>1993-01-28</t>
        </is>
      </c>
      <c r="X660" t="inlineStr">
        <is>
          <t>1993-01-28</t>
        </is>
      </c>
      <c r="Y660" t="n">
        <v>374</v>
      </c>
      <c r="Z660" t="n">
        <v>292</v>
      </c>
      <c r="AA660" t="n">
        <v>498</v>
      </c>
      <c r="AB660" t="n">
        <v>3</v>
      </c>
      <c r="AC660" t="n">
        <v>5</v>
      </c>
      <c r="AD660" t="n">
        <v>10</v>
      </c>
      <c r="AE660" t="n">
        <v>25</v>
      </c>
      <c r="AF660" t="n">
        <v>2</v>
      </c>
      <c r="AG660" t="n">
        <v>8</v>
      </c>
      <c r="AH660" t="n">
        <v>3</v>
      </c>
      <c r="AI660" t="n">
        <v>4</v>
      </c>
      <c r="AJ660" t="n">
        <v>5</v>
      </c>
      <c r="AK660" t="n">
        <v>14</v>
      </c>
      <c r="AL660" t="n">
        <v>2</v>
      </c>
      <c r="AM660" t="n">
        <v>4</v>
      </c>
      <c r="AN660" t="n">
        <v>0</v>
      </c>
      <c r="AO660" t="n">
        <v>0</v>
      </c>
      <c r="AP660" t="inlineStr">
        <is>
          <t>No</t>
        </is>
      </c>
      <c r="AQ660" t="inlineStr">
        <is>
          <t>Yes</t>
        </is>
      </c>
      <c r="AR660">
        <f>HYPERLINK("http://catalog.hathitrust.org/Record/001081460","HathiTrust Record")</f>
        <v/>
      </c>
      <c r="AS660">
        <f>HYPERLINK("https://creighton-primo.hosted.exlibrisgroup.com/primo-explore/search?tab=default_tab&amp;search_scope=EVERYTHING&amp;vid=01CRU&amp;lang=en_US&amp;offset=0&amp;query=any,contains,991001102959702656","Catalog Record")</f>
        <v/>
      </c>
      <c r="AT660">
        <f>HYPERLINK("http://www.worldcat.org/oclc/16355782","WorldCat Record")</f>
        <v/>
      </c>
      <c r="AU660" t="inlineStr">
        <is>
          <t>340430:eng</t>
        </is>
      </c>
      <c r="AV660" t="inlineStr">
        <is>
          <t>16355782</t>
        </is>
      </c>
      <c r="AW660" t="inlineStr">
        <is>
          <t>991001102959702656</t>
        </is>
      </c>
      <c r="AX660" t="inlineStr">
        <is>
          <t>991001102959702656</t>
        </is>
      </c>
      <c r="AY660" t="inlineStr">
        <is>
          <t>2255855780002656</t>
        </is>
      </c>
      <c r="AZ660" t="inlineStr">
        <is>
          <t>BOOK</t>
        </is>
      </c>
      <c r="BB660" t="inlineStr">
        <is>
          <t>9780471098997</t>
        </is>
      </c>
      <c r="BC660" t="inlineStr">
        <is>
          <t>32285001515740</t>
        </is>
      </c>
      <c r="BD660" t="inlineStr">
        <is>
          <t>893243858</t>
        </is>
      </c>
    </row>
    <row r="661">
      <c r="A661" t="inlineStr">
        <is>
          <t>No</t>
        </is>
      </c>
      <c r="B661" t="inlineStr">
        <is>
          <t>QD251.2 .W347 1997</t>
        </is>
      </c>
      <c r="C661" t="inlineStr">
        <is>
          <t>0                      QD 0251200W  347         1997</t>
        </is>
      </c>
      <c r="D661" t="inlineStr">
        <is>
          <t>Beyer/Walter Organic chemistry : a comprehensive degree text and source book / Wolfgang Walter, translated and edited by Douglas Lloyd.</t>
        </is>
      </c>
      <c r="F661" t="inlineStr">
        <is>
          <t>No</t>
        </is>
      </c>
      <c r="G661" t="inlineStr">
        <is>
          <t>1</t>
        </is>
      </c>
      <c r="H661" t="inlineStr">
        <is>
          <t>No</t>
        </is>
      </c>
      <c r="I661" t="inlineStr">
        <is>
          <t>No</t>
        </is>
      </c>
      <c r="J661" t="inlineStr">
        <is>
          <t>0</t>
        </is>
      </c>
      <c r="K661" t="inlineStr">
        <is>
          <t>Walter, Wolfgang, 1919-</t>
        </is>
      </c>
      <c r="L661" t="inlineStr">
        <is>
          <t>Chichester, West Sussex, England : Albion Publishing, c1997</t>
        </is>
      </c>
      <c r="M661" t="inlineStr">
        <is>
          <t>1997</t>
        </is>
      </c>
      <c r="O661" t="inlineStr">
        <is>
          <t>eng</t>
        </is>
      </c>
      <c r="P661" t="inlineStr">
        <is>
          <t>enk</t>
        </is>
      </c>
      <c r="R661" t="inlineStr">
        <is>
          <t xml:space="preserve">QD </t>
        </is>
      </c>
      <c r="S661" t="n">
        <v>22</v>
      </c>
      <c r="T661" t="n">
        <v>22</v>
      </c>
      <c r="U661" t="inlineStr">
        <is>
          <t>2009-03-26</t>
        </is>
      </c>
      <c r="V661" t="inlineStr">
        <is>
          <t>2009-03-26</t>
        </is>
      </c>
      <c r="W661" t="inlineStr">
        <is>
          <t>1997-07-22</t>
        </is>
      </c>
      <c r="X661" t="inlineStr">
        <is>
          <t>1997-07-22</t>
        </is>
      </c>
      <c r="Y661" t="n">
        <v>128</v>
      </c>
      <c r="Z661" t="n">
        <v>81</v>
      </c>
      <c r="AA661" t="n">
        <v>194</v>
      </c>
      <c r="AB661" t="n">
        <v>1</v>
      </c>
      <c r="AC661" t="n">
        <v>1</v>
      </c>
      <c r="AD661" t="n">
        <v>2</v>
      </c>
      <c r="AE661" t="n">
        <v>3</v>
      </c>
      <c r="AF661" t="n">
        <v>0</v>
      </c>
      <c r="AG661" t="n">
        <v>0</v>
      </c>
      <c r="AH661" t="n">
        <v>0</v>
      </c>
      <c r="AI661" t="n">
        <v>1</v>
      </c>
      <c r="AJ661" t="n">
        <v>2</v>
      </c>
      <c r="AK661" t="n">
        <v>3</v>
      </c>
      <c r="AL661" t="n">
        <v>0</v>
      </c>
      <c r="AM661" t="n">
        <v>0</v>
      </c>
      <c r="AN661" t="n">
        <v>0</v>
      </c>
      <c r="AO661" t="n">
        <v>0</v>
      </c>
      <c r="AP661" t="inlineStr">
        <is>
          <t>No</t>
        </is>
      </c>
      <c r="AQ661" t="inlineStr">
        <is>
          <t>No</t>
        </is>
      </c>
      <c r="AS661">
        <f>HYPERLINK("https://creighton-primo.hosted.exlibrisgroup.com/primo-explore/search?tab=default_tab&amp;search_scope=EVERYTHING&amp;vid=01CRU&amp;lang=en_US&amp;offset=0&amp;query=any,contains,991002831559702656","Catalog Record")</f>
        <v/>
      </c>
      <c r="AT661">
        <f>HYPERLINK("http://www.worldcat.org/oclc/37290173","WorldCat Record")</f>
        <v/>
      </c>
      <c r="AU661" t="inlineStr">
        <is>
          <t>8908772453:eng</t>
        </is>
      </c>
      <c r="AV661" t="inlineStr">
        <is>
          <t>37290173</t>
        </is>
      </c>
      <c r="AW661" t="inlineStr">
        <is>
          <t>991002831559702656</t>
        </is>
      </c>
      <c r="AX661" t="inlineStr">
        <is>
          <t>991002831559702656</t>
        </is>
      </c>
      <c r="AY661" t="inlineStr">
        <is>
          <t>2268227210002656</t>
        </is>
      </c>
      <c r="AZ661" t="inlineStr">
        <is>
          <t>BOOK</t>
        </is>
      </c>
      <c r="BB661" t="inlineStr">
        <is>
          <t>9781898563372</t>
        </is>
      </c>
      <c r="BC661" t="inlineStr">
        <is>
          <t>32285002883873</t>
        </is>
      </c>
      <c r="BD661" t="inlineStr">
        <is>
          <t>893347978</t>
        </is>
      </c>
    </row>
    <row r="662">
      <c r="A662" t="inlineStr">
        <is>
          <t>No</t>
        </is>
      </c>
      <c r="B662" t="inlineStr">
        <is>
          <t>QD251.3 .G65 2004</t>
        </is>
      </c>
      <c r="C662" t="inlineStr">
        <is>
          <t>0                      QD 0251300G  65          2004</t>
        </is>
      </c>
      <c r="D662" t="inlineStr">
        <is>
          <t>Dean's handbook of organic chemistry.</t>
        </is>
      </c>
      <c r="F662" t="inlineStr">
        <is>
          <t>No</t>
        </is>
      </c>
      <c r="G662" t="inlineStr">
        <is>
          <t>1</t>
        </is>
      </c>
      <c r="H662" t="inlineStr">
        <is>
          <t>No</t>
        </is>
      </c>
      <c r="I662" t="inlineStr">
        <is>
          <t>No</t>
        </is>
      </c>
      <c r="J662" t="inlineStr">
        <is>
          <t>0</t>
        </is>
      </c>
      <c r="K662" t="inlineStr">
        <is>
          <t>Gokel, George W., 1946-</t>
        </is>
      </c>
      <c r="L662" t="inlineStr">
        <is>
          <t>New York : McGraw-Hill, c2004.</t>
        </is>
      </c>
      <c r="M662" t="inlineStr">
        <is>
          <t>2004</t>
        </is>
      </c>
      <c r="N662" t="inlineStr">
        <is>
          <t>2nd ed. / George W. Gokel.</t>
        </is>
      </c>
      <c r="O662" t="inlineStr">
        <is>
          <t>eng</t>
        </is>
      </c>
      <c r="P662" t="inlineStr">
        <is>
          <t>nyu</t>
        </is>
      </c>
      <c r="Q662" t="inlineStr">
        <is>
          <t>McGraw-Hill handbooks</t>
        </is>
      </c>
      <c r="R662" t="inlineStr">
        <is>
          <t xml:space="preserve">QD </t>
        </is>
      </c>
      <c r="S662" t="n">
        <v>3</v>
      </c>
      <c r="T662" t="n">
        <v>3</v>
      </c>
      <c r="U662" t="inlineStr">
        <is>
          <t>2005-04-25</t>
        </is>
      </c>
      <c r="V662" t="inlineStr">
        <is>
          <t>2005-04-25</t>
        </is>
      </c>
      <c r="W662" t="inlineStr">
        <is>
          <t>2004-03-02</t>
        </is>
      </c>
      <c r="X662" t="inlineStr">
        <is>
          <t>2004-03-02</t>
        </is>
      </c>
      <c r="Y662" t="n">
        <v>350</v>
      </c>
      <c r="Z662" t="n">
        <v>281</v>
      </c>
      <c r="AA662" t="n">
        <v>375</v>
      </c>
      <c r="AB662" t="n">
        <v>2</v>
      </c>
      <c r="AC662" t="n">
        <v>2</v>
      </c>
      <c r="AD662" t="n">
        <v>9</v>
      </c>
      <c r="AE662" t="n">
        <v>12</v>
      </c>
      <c r="AF662" t="n">
        <v>4</v>
      </c>
      <c r="AG662" t="n">
        <v>4</v>
      </c>
      <c r="AH662" t="n">
        <v>2</v>
      </c>
      <c r="AI662" t="n">
        <v>3</v>
      </c>
      <c r="AJ662" t="n">
        <v>4</v>
      </c>
      <c r="AK662" t="n">
        <v>6</v>
      </c>
      <c r="AL662" t="n">
        <v>1</v>
      </c>
      <c r="AM662" t="n">
        <v>1</v>
      </c>
      <c r="AN662" t="n">
        <v>0</v>
      </c>
      <c r="AO662" t="n">
        <v>0</v>
      </c>
      <c r="AP662" t="inlineStr">
        <is>
          <t>No</t>
        </is>
      </c>
      <c r="AQ662" t="inlineStr">
        <is>
          <t>No</t>
        </is>
      </c>
      <c r="AS662">
        <f>HYPERLINK("https://creighton-primo.hosted.exlibrisgroup.com/primo-explore/search?tab=default_tab&amp;search_scope=EVERYTHING&amp;vid=01CRU&amp;lang=en_US&amp;offset=0&amp;query=any,contains,991004220749702656","Catalog Record")</f>
        <v/>
      </c>
      <c r="AT662">
        <f>HYPERLINK("http://www.worldcat.org/oclc/53817443","WorldCat Record")</f>
        <v/>
      </c>
      <c r="AU662" t="inlineStr">
        <is>
          <t>2864344901:eng</t>
        </is>
      </c>
      <c r="AV662" t="inlineStr">
        <is>
          <t>53817443</t>
        </is>
      </c>
      <c r="AW662" t="inlineStr">
        <is>
          <t>991004220749702656</t>
        </is>
      </c>
      <c r="AX662" t="inlineStr">
        <is>
          <t>991004220749702656</t>
        </is>
      </c>
      <c r="AY662" t="inlineStr">
        <is>
          <t>2272489400002656</t>
        </is>
      </c>
      <c r="AZ662" t="inlineStr">
        <is>
          <t>BOOK</t>
        </is>
      </c>
      <c r="BB662" t="inlineStr">
        <is>
          <t>9780071375931</t>
        </is>
      </c>
      <c r="BC662" t="inlineStr">
        <is>
          <t>32285004892062</t>
        </is>
      </c>
      <c r="BD662" t="inlineStr">
        <is>
          <t>893882203</t>
        </is>
      </c>
    </row>
    <row r="663">
      <c r="A663" t="inlineStr">
        <is>
          <t>No</t>
        </is>
      </c>
      <c r="B663" t="inlineStr">
        <is>
          <t>QD251.3 .G74 2003</t>
        </is>
      </c>
      <c r="C663" t="inlineStr">
        <is>
          <t>0                      QD 0251300G  74          2003</t>
        </is>
      </c>
      <c r="D663" t="inlineStr">
        <is>
          <t>Organic chemistry principles and industrial practice / M.M. Green, H.A. Wittcoff.</t>
        </is>
      </c>
      <c r="F663" t="inlineStr">
        <is>
          <t>No</t>
        </is>
      </c>
      <c r="G663" t="inlineStr">
        <is>
          <t>1</t>
        </is>
      </c>
      <c r="H663" t="inlineStr">
        <is>
          <t>No</t>
        </is>
      </c>
      <c r="I663" t="inlineStr">
        <is>
          <t>No</t>
        </is>
      </c>
      <c r="J663" t="inlineStr">
        <is>
          <t>0</t>
        </is>
      </c>
      <c r="K663" t="inlineStr">
        <is>
          <t>Green, M. M. (Mark M.)</t>
        </is>
      </c>
      <c r="L663" t="inlineStr">
        <is>
          <t>Weinheim ; [Cambridge] : Wiley-VCH, c2003.</t>
        </is>
      </c>
      <c r="M663" t="inlineStr">
        <is>
          <t>2003</t>
        </is>
      </c>
      <c r="O663" t="inlineStr">
        <is>
          <t>eng</t>
        </is>
      </c>
      <c r="P663" t="inlineStr">
        <is>
          <t>enk</t>
        </is>
      </c>
      <c r="R663" t="inlineStr">
        <is>
          <t xml:space="preserve">QD </t>
        </is>
      </c>
      <c r="S663" t="n">
        <v>7</v>
      </c>
      <c r="T663" t="n">
        <v>7</v>
      </c>
      <c r="U663" t="inlineStr">
        <is>
          <t>2007-08-03</t>
        </is>
      </c>
      <c r="V663" t="inlineStr">
        <is>
          <t>2007-08-03</t>
        </is>
      </c>
      <c r="W663" t="inlineStr">
        <is>
          <t>2004-03-24</t>
        </is>
      </c>
      <c r="X663" t="inlineStr">
        <is>
          <t>2004-03-24</t>
        </is>
      </c>
      <c r="Y663" t="n">
        <v>365</v>
      </c>
      <c r="Z663" t="n">
        <v>230</v>
      </c>
      <c r="AA663" t="n">
        <v>230</v>
      </c>
      <c r="AB663" t="n">
        <v>1</v>
      </c>
      <c r="AC663" t="n">
        <v>1</v>
      </c>
      <c r="AD663" t="n">
        <v>5</v>
      </c>
      <c r="AE663" t="n">
        <v>5</v>
      </c>
      <c r="AF663" t="n">
        <v>1</v>
      </c>
      <c r="AG663" t="n">
        <v>1</v>
      </c>
      <c r="AH663" t="n">
        <v>2</v>
      </c>
      <c r="AI663" t="n">
        <v>2</v>
      </c>
      <c r="AJ663" t="n">
        <v>3</v>
      </c>
      <c r="AK663" t="n">
        <v>3</v>
      </c>
      <c r="AL663" t="n">
        <v>0</v>
      </c>
      <c r="AM663" t="n">
        <v>0</v>
      </c>
      <c r="AN663" t="n">
        <v>0</v>
      </c>
      <c r="AO663" t="n">
        <v>0</v>
      </c>
      <c r="AP663" t="inlineStr">
        <is>
          <t>No</t>
        </is>
      </c>
      <c r="AQ663" t="inlineStr">
        <is>
          <t>No</t>
        </is>
      </c>
      <c r="AS663">
        <f>HYPERLINK("https://creighton-primo.hosted.exlibrisgroup.com/primo-explore/search?tab=default_tab&amp;search_scope=EVERYTHING&amp;vid=01CRU&amp;lang=en_US&amp;offset=0&amp;query=any,contains,991004243189702656","Catalog Record")</f>
        <v/>
      </c>
      <c r="AT663">
        <f>HYPERLINK("http://www.worldcat.org/oclc/50877964","WorldCat Record")</f>
        <v/>
      </c>
      <c r="AU663" t="inlineStr">
        <is>
          <t>1072921:eng</t>
        </is>
      </c>
      <c r="AV663" t="inlineStr">
        <is>
          <t>50877964</t>
        </is>
      </c>
      <c r="AW663" t="inlineStr">
        <is>
          <t>991004243189702656</t>
        </is>
      </c>
      <c r="AX663" t="inlineStr">
        <is>
          <t>991004243189702656</t>
        </is>
      </c>
      <c r="AY663" t="inlineStr">
        <is>
          <t>2261043330002656</t>
        </is>
      </c>
      <c r="AZ663" t="inlineStr">
        <is>
          <t>BOOK</t>
        </is>
      </c>
      <c r="BB663" t="inlineStr">
        <is>
          <t>9783527302895</t>
        </is>
      </c>
      <c r="BC663" t="inlineStr">
        <is>
          <t>32285004896717</t>
        </is>
      </c>
      <c r="BD663" t="inlineStr">
        <is>
          <t>893718677</t>
        </is>
      </c>
    </row>
    <row r="664">
      <c r="A664" t="inlineStr">
        <is>
          <t>No</t>
        </is>
      </c>
      <c r="B664" t="inlineStr">
        <is>
          <t>QD251.B42 B44</t>
        </is>
      </c>
      <c r="C664" t="inlineStr">
        <is>
          <t>0                      QD 0251000B  42                 B  44</t>
        </is>
      </c>
      <c r="D664" t="inlineStr">
        <is>
          <t>Beilsteins Handbuch der organischen Chemie, vierte Auflage : Gesamtregister für das Hauptwerk und die Ergänzungswerke I, II, III und IV, die Literatur bis 1959 umfassend : Formelregister für Band 1-&lt;2, 4, 6, 23-25 &gt; / hrsg. vom Beilstein-Institut für Literatur der Organischen Chemie, Frankfurt am Main.</t>
        </is>
      </c>
      <c r="E664" t="inlineStr">
        <is>
          <t>V.19</t>
        </is>
      </c>
      <c r="F664" t="inlineStr">
        <is>
          <t>Yes</t>
        </is>
      </c>
      <c r="G664" t="inlineStr">
        <is>
          <t>1</t>
        </is>
      </c>
      <c r="H664" t="inlineStr">
        <is>
          <t>No</t>
        </is>
      </c>
      <c r="I664" t="inlineStr">
        <is>
          <t>No</t>
        </is>
      </c>
      <c r="J664" t="inlineStr">
        <is>
          <t>0</t>
        </is>
      </c>
      <c r="L664" t="inlineStr">
        <is>
          <t>Berlin ; New York : Springer-Verlag, 1975-&lt;1984 &gt;</t>
        </is>
      </c>
      <c r="M664" t="inlineStr">
        <is>
          <t>1975</t>
        </is>
      </c>
      <c r="O664" t="inlineStr">
        <is>
          <t>ger</t>
        </is>
      </c>
      <c r="P664" t="inlineStr">
        <is>
          <t xml:space="preserve">gw </t>
        </is>
      </c>
      <c r="R664" t="inlineStr">
        <is>
          <t xml:space="preserve">QD </t>
        </is>
      </c>
      <c r="S664" t="n">
        <v>1</v>
      </c>
      <c r="T664" t="n">
        <v>4</v>
      </c>
      <c r="U664" t="inlineStr">
        <is>
          <t>1998-07-27</t>
        </is>
      </c>
      <c r="V664" t="inlineStr">
        <is>
          <t>1998-07-27</t>
        </is>
      </c>
      <c r="W664" t="inlineStr">
        <is>
          <t>1997-06-10</t>
        </is>
      </c>
      <c r="X664" t="inlineStr">
        <is>
          <t>1997-06-10</t>
        </is>
      </c>
      <c r="Y664" t="n">
        <v>107</v>
      </c>
      <c r="Z664" t="n">
        <v>89</v>
      </c>
      <c r="AA664" t="n">
        <v>89</v>
      </c>
      <c r="AB664" t="n">
        <v>1</v>
      </c>
      <c r="AC664" t="n">
        <v>1</v>
      </c>
      <c r="AD664" t="n">
        <v>4</v>
      </c>
      <c r="AE664" t="n">
        <v>4</v>
      </c>
      <c r="AF664" t="n">
        <v>1</v>
      </c>
      <c r="AG664" t="n">
        <v>1</v>
      </c>
      <c r="AH664" t="n">
        <v>1</v>
      </c>
      <c r="AI664" t="n">
        <v>1</v>
      </c>
      <c r="AJ664" t="n">
        <v>4</v>
      </c>
      <c r="AK664" t="n">
        <v>4</v>
      </c>
      <c r="AL664" t="n">
        <v>0</v>
      </c>
      <c r="AM664" t="n">
        <v>0</v>
      </c>
      <c r="AN664" t="n">
        <v>0</v>
      </c>
      <c r="AO664" t="n">
        <v>0</v>
      </c>
      <c r="AP664" t="inlineStr">
        <is>
          <t>No</t>
        </is>
      </c>
      <c r="AQ664" t="inlineStr">
        <is>
          <t>No</t>
        </is>
      </c>
      <c r="AS664">
        <f>HYPERLINK("https://creighton-primo.hosted.exlibrisgroup.com/primo-explore/search?tab=default_tab&amp;search_scope=EVERYTHING&amp;vid=01CRU&amp;lang=en_US&amp;offset=0&amp;query=any,contains,991005370309702656","Catalog Record")</f>
        <v/>
      </c>
      <c r="AT664">
        <f>HYPERLINK("http://www.worldcat.org/oclc/2840115","WorldCat Record")</f>
        <v/>
      </c>
      <c r="AU664" t="inlineStr">
        <is>
          <t>10567992377:ger</t>
        </is>
      </c>
      <c r="AV664" t="inlineStr">
        <is>
          <t>2840115</t>
        </is>
      </c>
      <c r="AW664" t="inlineStr">
        <is>
          <t>991005370309702656</t>
        </is>
      </c>
      <c r="AX664" t="inlineStr">
        <is>
          <t>991005370309702656</t>
        </is>
      </c>
      <c r="AY664" t="inlineStr">
        <is>
          <t>2265428390002656</t>
        </is>
      </c>
      <c r="AZ664" t="inlineStr">
        <is>
          <t>BOOK</t>
        </is>
      </c>
      <c r="BB664" t="inlineStr">
        <is>
          <t>9780387120218</t>
        </is>
      </c>
      <c r="BC664" t="inlineStr">
        <is>
          <t>32285002793437</t>
        </is>
      </c>
      <c r="BD664" t="inlineStr">
        <is>
          <t>893628725</t>
        </is>
      </c>
    </row>
    <row r="665">
      <c r="A665" t="inlineStr">
        <is>
          <t>No</t>
        </is>
      </c>
      <c r="B665" t="inlineStr">
        <is>
          <t>QD251.B42 B44</t>
        </is>
      </c>
      <c r="C665" t="inlineStr">
        <is>
          <t>0                      QD 0251000B  42                 B  44</t>
        </is>
      </c>
      <c r="D665" t="inlineStr">
        <is>
          <t>Beilsteins Handbuch der organischen Chemie, vierte Auflage : Gesamtregister für das Hauptwerk und die Ergänzungswerke I, II, III und IV, die Literatur bis 1959 umfassend : Formelregister für Band 1-&lt;2, 4, 6, 23-25 &gt; / hrsg. vom Beilstein-Institut für Literatur der Organischen Chemie, Frankfurt am Main.</t>
        </is>
      </c>
      <c r="E665" t="inlineStr">
        <is>
          <t>V.1</t>
        </is>
      </c>
      <c r="F665" t="inlineStr">
        <is>
          <t>Yes</t>
        </is>
      </c>
      <c r="G665" t="inlineStr">
        <is>
          <t>1</t>
        </is>
      </c>
      <c r="H665" t="inlineStr">
        <is>
          <t>No</t>
        </is>
      </c>
      <c r="I665" t="inlineStr">
        <is>
          <t>No</t>
        </is>
      </c>
      <c r="J665" t="inlineStr">
        <is>
          <t>0</t>
        </is>
      </c>
      <c r="L665" t="inlineStr">
        <is>
          <t>Berlin ; New York : Springer-Verlag, 1975-&lt;1984 &gt;</t>
        </is>
      </c>
      <c r="M665" t="inlineStr">
        <is>
          <t>1975</t>
        </is>
      </c>
      <c r="O665" t="inlineStr">
        <is>
          <t>ger</t>
        </is>
      </c>
      <c r="P665" t="inlineStr">
        <is>
          <t xml:space="preserve">gw </t>
        </is>
      </c>
      <c r="R665" t="inlineStr">
        <is>
          <t xml:space="preserve">QD </t>
        </is>
      </c>
      <c r="S665" t="n">
        <v>1</v>
      </c>
      <c r="T665" t="n">
        <v>4</v>
      </c>
      <c r="U665" t="inlineStr">
        <is>
          <t>1998-07-27</t>
        </is>
      </c>
      <c r="V665" t="inlineStr">
        <is>
          <t>1998-07-27</t>
        </is>
      </c>
      <c r="W665" t="inlineStr">
        <is>
          <t>1997-06-10</t>
        </is>
      </c>
      <c r="X665" t="inlineStr">
        <is>
          <t>1997-06-10</t>
        </is>
      </c>
      <c r="Y665" t="n">
        <v>107</v>
      </c>
      <c r="Z665" t="n">
        <v>89</v>
      </c>
      <c r="AA665" t="n">
        <v>89</v>
      </c>
      <c r="AB665" t="n">
        <v>1</v>
      </c>
      <c r="AC665" t="n">
        <v>1</v>
      </c>
      <c r="AD665" t="n">
        <v>4</v>
      </c>
      <c r="AE665" t="n">
        <v>4</v>
      </c>
      <c r="AF665" t="n">
        <v>1</v>
      </c>
      <c r="AG665" t="n">
        <v>1</v>
      </c>
      <c r="AH665" t="n">
        <v>1</v>
      </c>
      <c r="AI665" t="n">
        <v>1</v>
      </c>
      <c r="AJ665" t="n">
        <v>4</v>
      </c>
      <c r="AK665" t="n">
        <v>4</v>
      </c>
      <c r="AL665" t="n">
        <v>0</v>
      </c>
      <c r="AM665" t="n">
        <v>0</v>
      </c>
      <c r="AN665" t="n">
        <v>0</v>
      </c>
      <c r="AO665" t="n">
        <v>0</v>
      </c>
      <c r="AP665" t="inlineStr">
        <is>
          <t>No</t>
        </is>
      </c>
      <c r="AQ665" t="inlineStr">
        <is>
          <t>No</t>
        </is>
      </c>
      <c r="AS665">
        <f>HYPERLINK("https://creighton-primo.hosted.exlibrisgroup.com/primo-explore/search?tab=default_tab&amp;search_scope=EVERYTHING&amp;vid=01CRU&amp;lang=en_US&amp;offset=0&amp;query=any,contains,991005370309702656","Catalog Record")</f>
        <v/>
      </c>
      <c r="AT665">
        <f>HYPERLINK("http://www.worldcat.org/oclc/2840115","WorldCat Record")</f>
        <v/>
      </c>
      <c r="AU665" t="inlineStr">
        <is>
          <t>10567992377:ger</t>
        </is>
      </c>
      <c r="AV665" t="inlineStr">
        <is>
          <t>2840115</t>
        </is>
      </c>
      <c r="AW665" t="inlineStr">
        <is>
          <t>991005370309702656</t>
        </is>
      </c>
      <c r="AX665" t="inlineStr">
        <is>
          <t>991005370309702656</t>
        </is>
      </c>
      <c r="AY665" t="inlineStr">
        <is>
          <t>2265428390002656</t>
        </is>
      </c>
      <c r="AZ665" t="inlineStr">
        <is>
          <t>BOOK</t>
        </is>
      </c>
      <c r="BB665" t="inlineStr">
        <is>
          <t>9780387120218</t>
        </is>
      </c>
      <c r="BC665" t="inlineStr">
        <is>
          <t>32285002793403</t>
        </is>
      </c>
      <c r="BD665" t="inlineStr">
        <is>
          <t>893594941</t>
        </is>
      </c>
    </row>
    <row r="666">
      <c r="A666" t="inlineStr">
        <is>
          <t>No</t>
        </is>
      </c>
      <c r="B666" t="inlineStr">
        <is>
          <t>QD251.B42 B44</t>
        </is>
      </c>
      <c r="C666" t="inlineStr">
        <is>
          <t>0                      QD 0251000B  42                 B  44</t>
        </is>
      </c>
      <c r="D666" t="inlineStr">
        <is>
          <t>Beilsteins Handbuch der organischen Chemie, vierte Auflage : Gesamtregister für das Hauptwerk und die Ergänzungswerke I, II, III und IV, die Literatur bis 1959 umfassend : Formelregister für Band 1-&lt;2, 4, 6, 23-25 &gt; / hrsg. vom Beilstein-Institut für Literatur der Organischen Chemie, Frankfurt am Main.</t>
        </is>
      </c>
      <c r="E666" t="inlineStr">
        <is>
          <t>V.17-18 PT.1</t>
        </is>
      </c>
      <c r="F666" t="inlineStr">
        <is>
          <t>Yes</t>
        </is>
      </c>
      <c r="G666" t="inlineStr">
        <is>
          <t>1</t>
        </is>
      </c>
      <c r="H666" t="inlineStr">
        <is>
          <t>No</t>
        </is>
      </c>
      <c r="I666" t="inlineStr">
        <is>
          <t>No</t>
        </is>
      </c>
      <c r="J666" t="inlineStr">
        <is>
          <t>0</t>
        </is>
      </c>
      <c r="L666" t="inlineStr">
        <is>
          <t>Berlin ; New York : Springer-Verlag, 1975-&lt;1984 &gt;</t>
        </is>
      </c>
      <c r="M666" t="inlineStr">
        <is>
          <t>1975</t>
        </is>
      </c>
      <c r="O666" t="inlineStr">
        <is>
          <t>ger</t>
        </is>
      </c>
      <c r="P666" t="inlineStr">
        <is>
          <t xml:space="preserve">gw </t>
        </is>
      </c>
      <c r="R666" t="inlineStr">
        <is>
          <t xml:space="preserve">QD </t>
        </is>
      </c>
      <c r="S666" t="n">
        <v>1</v>
      </c>
      <c r="T666" t="n">
        <v>4</v>
      </c>
      <c r="U666" t="inlineStr">
        <is>
          <t>1998-07-27</t>
        </is>
      </c>
      <c r="V666" t="inlineStr">
        <is>
          <t>1998-07-27</t>
        </is>
      </c>
      <c r="W666" t="inlineStr">
        <is>
          <t>1997-06-10</t>
        </is>
      </c>
      <c r="X666" t="inlineStr">
        <is>
          <t>1997-06-10</t>
        </is>
      </c>
      <c r="Y666" t="n">
        <v>107</v>
      </c>
      <c r="Z666" t="n">
        <v>89</v>
      </c>
      <c r="AA666" t="n">
        <v>89</v>
      </c>
      <c r="AB666" t="n">
        <v>1</v>
      </c>
      <c r="AC666" t="n">
        <v>1</v>
      </c>
      <c r="AD666" t="n">
        <v>4</v>
      </c>
      <c r="AE666" t="n">
        <v>4</v>
      </c>
      <c r="AF666" t="n">
        <v>1</v>
      </c>
      <c r="AG666" t="n">
        <v>1</v>
      </c>
      <c r="AH666" t="n">
        <v>1</v>
      </c>
      <c r="AI666" t="n">
        <v>1</v>
      </c>
      <c r="AJ666" t="n">
        <v>4</v>
      </c>
      <c r="AK666" t="n">
        <v>4</v>
      </c>
      <c r="AL666" t="n">
        <v>0</v>
      </c>
      <c r="AM666" t="n">
        <v>0</v>
      </c>
      <c r="AN666" t="n">
        <v>0</v>
      </c>
      <c r="AO666" t="n">
        <v>0</v>
      </c>
      <c r="AP666" t="inlineStr">
        <is>
          <t>No</t>
        </is>
      </c>
      <c r="AQ666" t="inlineStr">
        <is>
          <t>No</t>
        </is>
      </c>
      <c r="AS666">
        <f>HYPERLINK("https://creighton-primo.hosted.exlibrisgroup.com/primo-explore/search?tab=default_tab&amp;search_scope=EVERYTHING&amp;vid=01CRU&amp;lang=en_US&amp;offset=0&amp;query=any,contains,991005370309702656","Catalog Record")</f>
        <v/>
      </c>
      <c r="AT666">
        <f>HYPERLINK("http://www.worldcat.org/oclc/2840115","WorldCat Record")</f>
        <v/>
      </c>
      <c r="AU666" t="inlineStr">
        <is>
          <t>10567992377:ger</t>
        </is>
      </c>
      <c r="AV666" t="inlineStr">
        <is>
          <t>2840115</t>
        </is>
      </c>
      <c r="AW666" t="inlineStr">
        <is>
          <t>991005370309702656</t>
        </is>
      </c>
      <c r="AX666" t="inlineStr">
        <is>
          <t>991005370309702656</t>
        </is>
      </c>
      <c r="AY666" t="inlineStr">
        <is>
          <t>2265428390002656</t>
        </is>
      </c>
      <c r="AZ666" t="inlineStr">
        <is>
          <t>BOOK</t>
        </is>
      </c>
      <c r="BB666" t="inlineStr">
        <is>
          <t>9780387120218</t>
        </is>
      </c>
      <c r="BC666" t="inlineStr">
        <is>
          <t>32285002793411</t>
        </is>
      </c>
      <c r="BD666" t="inlineStr">
        <is>
          <t>893601093</t>
        </is>
      </c>
    </row>
    <row r="667">
      <c r="A667" t="inlineStr">
        <is>
          <t>No</t>
        </is>
      </c>
      <c r="B667" t="inlineStr">
        <is>
          <t>QD251.B42 B44</t>
        </is>
      </c>
      <c r="C667" t="inlineStr">
        <is>
          <t>0                      QD 0251000B  42                 B  44</t>
        </is>
      </c>
      <c r="D667" t="inlineStr">
        <is>
          <t>Beilsteins Handbuch der organischen Chemie, vierte Auflage : Gesamtregister für das Hauptwerk und die Ergänzungswerke I, II, III und IV, die Literatur bis 1959 umfassend : Formelregister für Band 1-&lt;2, 4, 6, 23-25 &gt; / hrsg. vom Beilstein-Institut für Literatur der Organischen Chemie, Frankfurt am Main.</t>
        </is>
      </c>
      <c r="E667" t="inlineStr">
        <is>
          <t>V.17-18 PT.2</t>
        </is>
      </c>
      <c r="F667" t="inlineStr">
        <is>
          <t>Yes</t>
        </is>
      </c>
      <c r="G667" t="inlineStr">
        <is>
          <t>1</t>
        </is>
      </c>
      <c r="H667" t="inlineStr">
        <is>
          <t>No</t>
        </is>
      </c>
      <c r="I667" t="inlineStr">
        <is>
          <t>No</t>
        </is>
      </c>
      <c r="J667" t="inlineStr">
        <is>
          <t>0</t>
        </is>
      </c>
      <c r="L667" t="inlineStr">
        <is>
          <t>Berlin ; New York : Springer-Verlag, 1975-&lt;1984 &gt;</t>
        </is>
      </c>
      <c r="M667" t="inlineStr">
        <is>
          <t>1975</t>
        </is>
      </c>
      <c r="O667" t="inlineStr">
        <is>
          <t>ger</t>
        </is>
      </c>
      <c r="P667" t="inlineStr">
        <is>
          <t xml:space="preserve">gw </t>
        </is>
      </c>
      <c r="R667" t="inlineStr">
        <is>
          <t xml:space="preserve">QD </t>
        </is>
      </c>
      <c r="S667" t="n">
        <v>1</v>
      </c>
      <c r="T667" t="n">
        <v>4</v>
      </c>
      <c r="U667" t="inlineStr">
        <is>
          <t>1998-07-27</t>
        </is>
      </c>
      <c r="V667" t="inlineStr">
        <is>
          <t>1998-07-27</t>
        </is>
      </c>
      <c r="W667" t="inlineStr">
        <is>
          <t>1997-06-10</t>
        </is>
      </c>
      <c r="X667" t="inlineStr">
        <is>
          <t>1997-06-10</t>
        </is>
      </c>
      <c r="Y667" t="n">
        <v>107</v>
      </c>
      <c r="Z667" t="n">
        <v>89</v>
      </c>
      <c r="AA667" t="n">
        <v>89</v>
      </c>
      <c r="AB667" t="n">
        <v>1</v>
      </c>
      <c r="AC667" t="n">
        <v>1</v>
      </c>
      <c r="AD667" t="n">
        <v>4</v>
      </c>
      <c r="AE667" t="n">
        <v>4</v>
      </c>
      <c r="AF667" t="n">
        <v>1</v>
      </c>
      <c r="AG667" t="n">
        <v>1</v>
      </c>
      <c r="AH667" t="n">
        <v>1</v>
      </c>
      <c r="AI667" t="n">
        <v>1</v>
      </c>
      <c r="AJ667" t="n">
        <v>4</v>
      </c>
      <c r="AK667" t="n">
        <v>4</v>
      </c>
      <c r="AL667" t="n">
        <v>0</v>
      </c>
      <c r="AM667" t="n">
        <v>0</v>
      </c>
      <c r="AN667" t="n">
        <v>0</v>
      </c>
      <c r="AO667" t="n">
        <v>0</v>
      </c>
      <c r="AP667" t="inlineStr">
        <is>
          <t>No</t>
        </is>
      </c>
      <c r="AQ667" t="inlineStr">
        <is>
          <t>No</t>
        </is>
      </c>
      <c r="AS667">
        <f>HYPERLINK("https://creighton-primo.hosted.exlibrisgroup.com/primo-explore/search?tab=default_tab&amp;search_scope=EVERYTHING&amp;vid=01CRU&amp;lang=en_US&amp;offset=0&amp;query=any,contains,991005370309702656","Catalog Record")</f>
        <v/>
      </c>
      <c r="AT667">
        <f>HYPERLINK("http://www.worldcat.org/oclc/2840115","WorldCat Record")</f>
        <v/>
      </c>
      <c r="AU667" t="inlineStr">
        <is>
          <t>10567992377:ger</t>
        </is>
      </c>
      <c r="AV667" t="inlineStr">
        <is>
          <t>2840115</t>
        </is>
      </c>
      <c r="AW667" t="inlineStr">
        <is>
          <t>991005370309702656</t>
        </is>
      </c>
      <c r="AX667" t="inlineStr">
        <is>
          <t>991005370309702656</t>
        </is>
      </c>
      <c r="AY667" t="inlineStr">
        <is>
          <t>2265428390002656</t>
        </is>
      </c>
      <c r="AZ667" t="inlineStr">
        <is>
          <t>BOOK</t>
        </is>
      </c>
      <c r="BB667" t="inlineStr">
        <is>
          <t>9780387120218</t>
        </is>
      </c>
      <c r="BC667" t="inlineStr">
        <is>
          <t>32285002793429</t>
        </is>
      </c>
      <c r="BD667" t="inlineStr">
        <is>
          <t>893619893</t>
        </is>
      </c>
    </row>
    <row r="668">
      <c r="A668" t="inlineStr">
        <is>
          <t>No</t>
        </is>
      </c>
      <c r="B668" t="inlineStr">
        <is>
          <t>QD251.B43 W4413</t>
        </is>
      </c>
      <c r="C668" t="inlineStr">
        <is>
          <t>0                      QD 0251000B  43                 W  4413</t>
        </is>
      </c>
      <c r="D668" t="inlineStr">
        <is>
          <t>The Beilstein guide : a manual for the use of Beilsteins Handbuch der organischen Chemie / Oskar Weissbach ; [translated by H. M. R. Hoffmann].</t>
        </is>
      </c>
      <c r="F668" t="inlineStr">
        <is>
          <t>No</t>
        </is>
      </c>
      <c r="G668" t="inlineStr">
        <is>
          <t>1</t>
        </is>
      </c>
      <c r="H668" t="inlineStr">
        <is>
          <t>No</t>
        </is>
      </c>
      <c r="I668" t="inlineStr">
        <is>
          <t>No</t>
        </is>
      </c>
      <c r="J668" t="inlineStr">
        <is>
          <t>0</t>
        </is>
      </c>
      <c r="K668" t="inlineStr">
        <is>
          <t>Weissbach, Oskar, 1929-</t>
        </is>
      </c>
      <c r="L668" t="inlineStr">
        <is>
          <t>Berlin ; New York : Springer-Verlag, 1976.</t>
        </is>
      </c>
      <c r="M668" t="inlineStr">
        <is>
          <t>1976</t>
        </is>
      </c>
      <c r="O668" t="inlineStr">
        <is>
          <t>eng</t>
        </is>
      </c>
      <c r="P668" t="inlineStr">
        <is>
          <t xml:space="preserve">gw </t>
        </is>
      </c>
      <c r="R668" t="inlineStr">
        <is>
          <t xml:space="preserve">QD </t>
        </is>
      </c>
      <c r="S668" t="n">
        <v>1</v>
      </c>
      <c r="T668" t="n">
        <v>1</v>
      </c>
      <c r="U668" t="inlineStr">
        <is>
          <t>1998-07-28</t>
        </is>
      </c>
      <c r="V668" t="inlineStr">
        <is>
          <t>1998-07-28</t>
        </is>
      </c>
      <c r="W668" t="inlineStr">
        <is>
          <t>1997-06-10</t>
        </is>
      </c>
      <c r="X668" t="inlineStr">
        <is>
          <t>1997-06-10</t>
        </is>
      </c>
      <c r="Y668" t="n">
        <v>448</v>
      </c>
      <c r="Z668" t="n">
        <v>354</v>
      </c>
      <c r="AA668" t="n">
        <v>359</v>
      </c>
      <c r="AB668" t="n">
        <v>3</v>
      </c>
      <c r="AC668" t="n">
        <v>3</v>
      </c>
      <c r="AD668" t="n">
        <v>17</v>
      </c>
      <c r="AE668" t="n">
        <v>17</v>
      </c>
      <c r="AF668" t="n">
        <v>2</v>
      </c>
      <c r="AG668" t="n">
        <v>2</v>
      </c>
      <c r="AH668" t="n">
        <v>5</v>
      </c>
      <c r="AI668" t="n">
        <v>5</v>
      </c>
      <c r="AJ668" t="n">
        <v>12</v>
      </c>
      <c r="AK668" t="n">
        <v>12</v>
      </c>
      <c r="AL668" t="n">
        <v>2</v>
      </c>
      <c r="AM668" t="n">
        <v>2</v>
      </c>
      <c r="AN668" t="n">
        <v>0</v>
      </c>
      <c r="AO668" t="n">
        <v>0</v>
      </c>
      <c r="AP668" t="inlineStr">
        <is>
          <t>No</t>
        </is>
      </c>
      <c r="AQ668" t="inlineStr">
        <is>
          <t>No</t>
        </is>
      </c>
      <c r="AS668">
        <f>HYPERLINK("https://creighton-primo.hosted.exlibrisgroup.com/primo-explore/search?tab=default_tab&amp;search_scope=EVERYTHING&amp;vid=01CRU&amp;lang=en_US&amp;offset=0&amp;query=any,contains,991005369159702656","Catalog Record")</f>
        <v/>
      </c>
      <c r="AT668">
        <f>HYPERLINK("http://www.worldcat.org/oclc/2116119","WorldCat Record")</f>
        <v/>
      </c>
      <c r="AU668" t="inlineStr">
        <is>
          <t>889879182:eng</t>
        </is>
      </c>
      <c r="AV668" t="inlineStr">
        <is>
          <t>2116119</t>
        </is>
      </c>
      <c r="AW668" t="inlineStr">
        <is>
          <t>991005369159702656</t>
        </is>
      </c>
      <c r="AX668" t="inlineStr">
        <is>
          <t>991005369159702656</t>
        </is>
      </c>
      <c r="AY668" t="inlineStr">
        <is>
          <t>2266206190002656</t>
        </is>
      </c>
      <c r="AZ668" t="inlineStr">
        <is>
          <t>BOOK</t>
        </is>
      </c>
      <c r="BB668" t="inlineStr">
        <is>
          <t>9780387074573</t>
        </is>
      </c>
      <c r="BC668" t="inlineStr">
        <is>
          <t>32285002793775</t>
        </is>
      </c>
      <c r="BD668" t="inlineStr">
        <is>
          <t>893594936</t>
        </is>
      </c>
    </row>
    <row r="669">
      <c r="A669" t="inlineStr">
        <is>
          <t>No</t>
        </is>
      </c>
      <c r="B669" t="inlineStr">
        <is>
          <t>QD253 .N65 1965</t>
        </is>
      </c>
      <c r="C669" t="inlineStr">
        <is>
          <t>0                      QD 0253000N  65          1965</t>
        </is>
      </c>
      <c r="D669" t="inlineStr">
        <is>
          <t>Chemistry of organic compounds / [by] Carl R. Noller.</t>
        </is>
      </c>
      <c r="F669" t="inlineStr">
        <is>
          <t>No</t>
        </is>
      </c>
      <c r="G669" t="inlineStr">
        <is>
          <t>1</t>
        </is>
      </c>
      <c r="H669" t="inlineStr">
        <is>
          <t>Yes</t>
        </is>
      </c>
      <c r="I669" t="inlineStr">
        <is>
          <t>No</t>
        </is>
      </c>
      <c r="J669" t="inlineStr">
        <is>
          <t>0</t>
        </is>
      </c>
      <c r="K669" t="inlineStr">
        <is>
          <t>Noller, Carl R. (Carl Robert), 1900-1980.</t>
        </is>
      </c>
      <c r="L669" t="inlineStr">
        <is>
          <t>Philadelphia : Saunders, 1965.</t>
        </is>
      </c>
      <c r="M669" t="inlineStr">
        <is>
          <t>1965</t>
        </is>
      </c>
      <c r="N669" t="inlineStr">
        <is>
          <t>3d ed.</t>
        </is>
      </c>
      <c r="O669" t="inlineStr">
        <is>
          <t>eng</t>
        </is>
      </c>
      <c r="P669" t="inlineStr">
        <is>
          <t>pau</t>
        </is>
      </c>
      <c r="R669" t="inlineStr">
        <is>
          <t xml:space="preserve">QD </t>
        </is>
      </c>
      <c r="S669" t="n">
        <v>3</v>
      </c>
      <c r="T669" t="n">
        <v>9</v>
      </c>
      <c r="U669" t="inlineStr">
        <is>
          <t>1997-10-24</t>
        </is>
      </c>
      <c r="V669" t="inlineStr">
        <is>
          <t>1999-06-17</t>
        </is>
      </c>
      <c r="W669" t="inlineStr">
        <is>
          <t>1995-03-07</t>
        </is>
      </c>
      <c r="X669" t="inlineStr">
        <is>
          <t>1995-03-07</t>
        </is>
      </c>
      <c r="Y669" t="n">
        <v>475</v>
      </c>
      <c r="Z669" t="n">
        <v>375</v>
      </c>
      <c r="AA669" t="n">
        <v>553</v>
      </c>
      <c r="AB669" t="n">
        <v>4</v>
      </c>
      <c r="AC669" t="n">
        <v>8</v>
      </c>
      <c r="AD669" t="n">
        <v>12</v>
      </c>
      <c r="AE669" t="n">
        <v>22</v>
      </c>
      <c r="AF669" t="n">
        <v>5</v>
      </c>
      <c r="AG669" t="n">
        <v>8</v>
      </c>
      <c r="AH669" t="n">
        <v>2</v>
      </c>
      <c r="AI669" t="n">
        <v>3</v>
      </c>
      <c r="AJ669" t="n">
        <v>7</v>
      </c>
      <c r="AK669" t="n">
        <v>10</v>
      </c>
      <c r="AL669" t="n">
        <v>2</v>
      </c>
      <c r="AM669" t="n">
        <v>5</v>
      </c>
      <c r="AN669" t="n">
        <v>0</v>
      </c>
      <c r="AO669" t="n">
        <v>0</v>
      </c>
      <c r="AP669" t="inlineStr">
        <is>
          <t>No</t>
        </is>
      </c>
      <c r="AQ669" t="inlineStr">
        <is>
          <t>Yes</t>
        </is>
      </c>
      <c r="AR669">
        <f>HYPERLINK("http://catalog.hathitrust.org/Record/001113674","HathiTrust Record")</f>
        <v/>
      </c>
      <c r="AS669">
        <f>HYPERLINK("https://creighton-primo.hosted.exlibrisgroup.com/primo-explore/search?tab=default_tab&amp;search_scope=EVERYTHING&amp;vid=01CRU&amp;lang=en_US&amp;offset=0&amp;query=any,contains,991001768529702656","Catalog Record")</f>
        <v/>
      </c>
      <c r="AT669">
        <f>HYPERLINK("http://www.worldcat.org/oclc/541872","WorldCat Record")</f>
        <v/>
      </c>
      <c r="AU669" t="inlineStr">
        <is>
          <t>1377508:eng</t>
        </is>
      </c>
      <c r="AV669" t="inlineStr">
        <is>
          <t>541872</t>
        </is>
      </c>
      <c r="AW669" t="inlineStr">
        <is>
          <t>991001768529702656</t>
        </is>
      </c>
      <c r="AX669" t="inlineStr">
        <is>
          <t>991001768529702656</t>
        </is>
      </c>
      <c r="AY669" t="inlineStr">
        <is>
          <t>2268246120002656</t>
        </is>
      </c>
      <c r="AZ669" t="inlineStr">
        <is>
          <t>BOOK</t>
        </is>
      </c>
      <c r="BC669" t="inlineStr">
        <is>
          <t>32285002011491</t>
        </is>
      </c>
      <c r="BD669" t="inlineStr">
        <is>
          <t>893872786</t>
        </is>
      </c>
    </row>
    <row r="670">
      <c r="A670" t="inlineStr">
        <is>
          <t>No</t>
        </is>
      </c>
      <c r="B670" t="inlineStr">
        <is>
          <t>QD255 .O744 1987</t>
        </is>
      </c>
      <c r="C670" t="inlineStr">
        <is>
          <t>0                      QD 0255000O  744         1987</t>
        </is>
      </c>
      <c r="D670" t="inlineStr">
        <is>
          <t>Organic solid state chemistry / edited by G.R. Desiraju.</t>
        </is>
      </c>
      <c r="F670" t="inlineStr">
        <is>
          <t>No</t>
        </is>
      </c>
      <c r="G670" t="inlineStr">
        <is>
          <t>1</t>
        </is>
      </c>
      <c r="H670" t="inlineStr">
        <is>
          <t>No</t>
        </is>
      </c>
      <c r="I670" t="inlineStr">
        <is>
          <t>No</t>
        </is>
      </c>
      <c r="J670" t="inlineStr">
        <is>
          <t>0</t>
        </is>
      </c>
      <c r="L670" t="inlineStr">
        <is>
          <t>Amsterdam ; New York : Elsevier, 1987.</t>
        </is>
      </c>
      <c r="M670" t="inlineStr">
        <is>
          <t>1987</t>
        </is>
      </c>
      <c r="O670" t="inlineStr">
        <is>
          <t>eng</t>
        </is>
      </c>
      <c r="P670" t="inlineStr">
        <is>
          <t xml:space="preserve">ne </t>
        </is>
      </c>
      <c r="Q670" t="inlineStr">
        <is>
          <t>Studies in organic chemistry ; 32</t>
        </is>
      </c>
      <c r="R670" t="inlineStr">
        <is>
          <t xml:space="preserve">QD </t>
        </is>
      </c>
      <c r="S670" t="n">
        <v>5</v>
      </c>
      <c r="T670" t="n">
        <v>5</v>
      </c>
      <c r="U670" t="inlineStr">
        <is>
          <t>1992-06-25</t>
        </is>
      </c>
      <c r="V670" t="inlineStr">
        <is>
          <t>1992-06-25</t>
        </is>
      </c>
      <c r="W670" t="inlineStr">
        <is>
          <t>1992-04-22</t>
        </is>
      </c>
      <c r="X670" t="inlineStr">
        <is>
          <t>1992-04-22</t>
        </is>
      </c>
      <c r="Y670" t="n">
        <v>175</v>
      </c>
      <c r="Z670" t="n">
        <v>110</v>
      </c>
      <c r="AA670" t="n">
        <v>111</v>
      </c>
      <c r="AB670" t="n">
        <v>2</v>
      </c>
      <c r="AC670" t="n">
        <v>2</v>
      </c>
      <c r="AD670" t="n">
        <v>3</v>
      </c>
      <c r="AE670" t="n">
        <v>3</v>
      </c>
      <c r="AF670" t="n">
        <v>0</v>
      </c>
      <c r="AG670" t="n">
        <v>0</v>
      </c>
      <c r="AH670" t="n">
        <v>1</v>
      </c>
      <c r="AI670" t="n">
        <v>1</v>
      </c>
      <c r="AJ670" t="n">
        <v>2</v>
      </c>
      <c r="AK670" t="n">
        <v>2</v>
      </c>
      <c r="AL670" t="n">
        <v>1</v>
      </c>
      <c r="AM670" t="n">
        <v>1</v>
      </c>
      <c r="AN670" t="n">
        <v>0</v>
      </c>
      <c r="AO670" t="n">
        <v>0</v>
      </c>
      <c r="AP670" t="inlineStr">
        <is>
          <t>No</t>
        </is>
      </c>
      <c r="AQ670" t="inlineStr">
        <is>
          <t>Yes</t>
        </is>
      </c>
      <c r="AR670">
        <f>HYPERLINK("http://catalog.hathitrust.org/Record/000881515","HathiTrust Record")</f>
        <v/>
      </c>
      <c r="AS670">
        <f>HYPERLINK("https://creighton-primo.hosted.exlibrisgroup.com/primo-explore/search?tab=default_tab&amp;search_scope=EVERYTHING&amp;vid=01CRU&amp;lang=en_US&amp;offset=0&amp;query=any,contains,991001188209702656","Catalog Record")</f>
        <v/>
      </c>
      <c r="AT670">
        <f>HYPERLINK("http://www.worldcat.org/oclc/17232734","WorldCat Record")</f>
        <v/>
      </c>
      <c r="AU670" t="inlineStr">
        <is>
          <t>15954103:eng</t>
        </is>
      </c>
      <c r="AV670" t="inlineStr">
        <is>
          <t>17232734</t>
        </is>
      </c>
      <c r="AW670" t="inlineStr">
        <is>
          <t>991001188209702656</t>
        </is>
      </c>
      <c r="AX670" t="inlineStr">
        <is>
          <t>991001188209702656</t>
        </is>
      </c>
      <c r="AY670" t="inlineStr">
        <is>
          <t>2271708040002656</t>
        </is>
      </c>
      <c r="AZ670" t="inlineStr">
        <is>
          <t>BOOK</t>
        </is>
      </c>
      <c r="BB670" t="inlineStr">
        <is>
          <t>9780444428448</t>
        </is>
      </c>
      <c r="BC670" t="inlineStr">
        <is>
          <t>32285001036937</t>
        </is>
      </c>
      <c r="BD670" t="inlineStr">
        <is>
          <t>893772382</t>
        </is>
      </c>
    </row>
    <row r="671">
      <c r="A671" t="inlineStr">
        <is>
          <t>No</t>
        </is>
      </c>
      <c r="B671" t="inlineStr">
        <is>
          <t>QD255 .S73</t>
        </is>
      </c>
      <c r="C671" t="inlineStr">
        <is>
          <t>0                      QD 0255000S  73</t>
        </is>
      </c>
      <c r="D671" t="inlineStr">
        <is>
          <t>Free radical reactions in preparative organic chemistry.</t>
        </is>
      </c>
      <c r="F671" t="inlineStr">
        <is>
          <t>No</t>
        </is>
      </c>
      <c r="G671" t="inlineStr">
        <is>
          <t>1</t>
        </is>
      </c>
      <c r="H671" t="inlineStr">
        <is>
          <t>No</t>
        </is>
      </c>
      <c r="I671" t="inlineStr">
        <is>
          <t>No</t>
        </is>
      </c>
      <c r="J671" t="inlineStr">
        <is>
          <t>0</t>
        </is>
      </c>
      <c r="K671" t="inlineStr">
        <is>
          <t>Sosnovsky, George, 1920-</t>
        </is>
      </c>
      <c r="L671" t="inlineStr">
        <is>
          <t>New York, Macmillan [1964]</t>
        </is>
      </c>
      <c r="M671" t="inlineStr">
        <is>
          <t>1964</t>
        </is>
      </c>
      <c r="O671" t="inlineStr">
        <is>
          <t>eng</t>
        </is>
      </c>
      <c r="P671" t="inlineStr">
        <is>
          <t>nyu</t>
        </is>
      </c>
      <c r="R671" t="inlineStr">
        <is>
          <t xml:space="preserve">QD </t>
        </is>
      </c>
      <c r="S671" t="n">
        <v>2</v>
      </c>
      <c r="T671" t="n">
        <v>2</v>
      </c>
      <c r="U671" t="inlineStr">
        <is>
          <t>1998-04-26</t>
        </is>
      </c>
      <c r="V671" t="inlineStr">
        <is>
          <t>1998-04-26</t>
        </is>
      </c>
      <c r="W671" t="inlineStr">
        <is>
          <t>1997-06-11</t>
        </is>
      </c>
      <c r="X671" t="inlineStr">
        <is>
          <t>1997-06-11</t>
        </is>
      </c>
      <c r="Y671" t="n">
        <v>480</v>
      </c>
      <c r="Z671" t="n">
        <v>377</v>
      </c>
      <c r="AA671" t="n">
        <v>379</v>
      </c>
      <c r="AB671" t="n">
        <v>2</v>
      </c>
      <c r="AC671" t="n">
        <v>2</v>
      </c>
      <c r="AD671" t="n">
        <v>17</v>
      </c>
      <c r="AE671" t="n">
        <v>17</v>
      </c>
      <c r="AF671" t="n">
        <v>5</v>
      </c>
      <c r="AG671" t="n">
        <v>5</v>
      </c>
      <c r="AH671" t="n">
        <v>3</v>
      </c>
      <c r="AI671" t="n">
        <v>3</v>
      </c>
      <c r="AJ671" t="n">
        <v>11</v>
      </c>
      <c r="AK671" t="n">
        <v>11</v>
      </c>
      <c r="AL671" t="n">
        <v>1</v>
      </c>
      <c r="AM671" t="n">
        <v>1</v>
      </c>
      <c r="AN671" t="n">
        <v>0</v>
      </c>
      <c r="AO671" t="n">
        <v>0</v>
      </c>
      <c r="AP671" t="inlineStr">
        <is>
          <t>No</t>
        </is>
      </c>
      <c r="AQ671" t="inlineStr">
        <is>
          <t>Yes</t>
        </is>
      </c>
      <c r="AR671">
        <f>HYPERLINK("http://catalog.hathitrust.org/Record/001033424","HathiTrust Record")</f>
        <v/>
      </c>
      <c r="AS671">
        <f>HYPERLINK("https://creighton-primo.hosted.exlibrisgroup.com/primo-explore/search?tab=default_tab&amp;search_scope=EVERYTHING&amp;vid=01CRU&amp;lang=en_US&amp;offset=0&amp;query=any,contains,991003242999702656","Catalog Record")</f>
        <v/>
      </c>
      <c r="AT671">
        <f>HYPERLINK("http://www.worldcat.org/oclc/765970","WorldCat Record")</f>
        <v/>
      </c>
      <c r="AU671" t="inlineStr">
        <is>
          <t>1658271:eng</t>
        </is>
      </c>
      <c r="AV671" t="inlineStr">
        <is>
          <t>765970</t>
        </is>
      </c>
      <c r="AW671" t="inlineStr">
        <is>
          <t>991003242999702656</t>
        </is>
      </c>
      <c r="AX671" t="inlineStr">
        <is>
          <t>991003242999702656</t>
        </is>
      </c>
      <c r="AY671" t="inlineStr">
        <is>
          <t>2270302990002656</t>
        </is>
      </c>
      <c r="AZ671" t="inlineStr">
        <is>
          <t>BOOK</t>
        </is>
      </c>
      <c r="BC671" t="inlineStr">
        <is>
          <t>32285002793981</t>
        </is>
      </c>
      <c r="BD671" t="inlineStr">
        <is>
          <t>893233952</t>
        </is>
      </c>
    </row>
    <row r="672">
      <c r="A672" t="inlineStr">
        <is>
          <t>No</t>
        </is>
      </c>
      <c r="B672" t="inlineStr">
        <is>
          <t>QD255.4 .L5 2007</t>
        </is>
      </c>
      <c r="C672" t="inlineStr">
        <is>
          <t>0                      QD 0255400L  5           2007</t>
        </is>
      </c>
      <c r="D672" t="inlineStr">
        <is>
          <t>Comprehensive organic reactions in aqueous media / Chao-Jun Li, Tak-Hang Chan.</t>
        </is>
      </c>
      <c r="F672" t="inlineStr">
        <is>
          <t>No</t>
        </is>
      </c>
      <c r="G672" t="inlineStr">
        <is>
          <t>1</t>
        </is>
      </c>
      <c r="H672" t="inlineStr">
        <is>
          <t>No</t>
        </is>
      </c>
      <c r="I672" t="inlineStr">
        <is>
          <t>No</t>
        </is>
      </c>
      <c r="J672" t="inlineStr">
        <is>
          <t>0</t>
        </is>
      </c>
      <c r="K672" t="inlineStr">
        <is>
          <t>Li, Chao-Jun, 1963-</t>
        </is>
      </c>
      <c r="L672" t="inlineStr">
        <is>
          <t>Hoboken, N.J. : Wiley-Interscience, c2007.</t>
        </is>
      </c>
      <c r="M672" t="inlineStr">
        <is>
          <t>2007</t>
        </is>
      </c>
      <c r="N672" t="inlineStr">
        <is>
          <t>2nd ed.</t>
        </is>
      </c>
      <c r="O672" t="inlineStr">
        <is>
          <t>eng</t>
        </is>
      </c>
      <c r="P672" t="inlineStr">
        <is>
          <t>nju</t>
        </is>
      </c>
      <c r="R672" t="inlineStr">
        <is>
          <t xml:space="preserve">QD </t>
        </is>
      </c>
      <c r="S672" t="n">
        <v>1</v>
      </c>
      <c r="T672" t="n">
        <v>1</v>
      </c>
      <c r="U672" t="inlineStr">
        <is>
          <t>2007-11-05</t>
        </is>
      </c>
      <c r="V672" t="inlineStr">
        <is>
          <t>2007-11-05</t>
        </is>
      </c>
      <c r="W672" t="inlineStr">
        <is>
          <t>2007-11-05</t>
        </is>
      </c>
      <c r="X672" t="inlineStr">
        <is>
          <t>2007-11-05</t>
        </is>
      </c>
      <c r="Y672" t="n">
        <v>247</v>
      </c>
      <c r="Z672" t="n">
        <v>165</v>
      </c>
      <c r="AA672" t="n">
        <v>242</v>
      </c>
      <c r="AB672" t="n">
        <v>2</v>
      </c>
      <c r="AC672" t="n">
        <v>3</v>
      </c>
      <c r="AD672" t="n">
        <v>10</v>
      </c>
      <c r="AE672" t="n">
        <v>11</v>
      </c>
      <c r="AF672" t="n">
        <v>2</v>
      </c>
      <c r="AG672" t="n">
        <v>2</v>
      </c>
      <c r="AH672" t="n">
        <v>3</v>
      </c>
      <c r="AI672" t="n">
        <v>3</v>
      </c>
      <c r="AJ672" t="n">
        <v>7</v>
      </c>
      <c r="AK672" t="n">
        <v>7</v>
      </c>
      <c r="AL672" t="n">
        <v>1</v>
      </c>
      <c r="AM672" t="n">
        <v>2</v>
      </c>
      <c r="AN672" t="n">
        <v>0</v>
      </c>
      <c r="AO672" t="n">
        <v>0</v>
      </c>
      <c r="AP672" t="inlineStr">
        <is>
          <t>No</t>
        </is>
      </c>
      <c r="AQ672" t="inlineStr">
        <is>
          <t>No</t>
        </is>
      </c>
      <c r="AS672">
        <f>HYPERLINK("https://creighton-primo.hosted.exlibrisgroup.com/primo-explore/search?tab=default_tab&amp;search_scope=EVERYTHING&amp;vid=01CRU&amp;lang=en_US&amp;offset=0&amp;query=any,contains,991005137199702656","Catalog Record")</f>
        <v/>
      </c>
      <c r="AT672">
        <f>HYPERLINK("http://www.worldcat.org/oclc/74029329","WorldCat Record")</f>
        <v/>
      </c>
      <c r="AU672" t="inlineStr">
        <is>
          <t>60427301:eng</t>
        </is>
      </c>
      <c r="AV672" t="inlineStr">
        <is>
          <t>74029329</t>
        </is>
      </c>
      <c r="AW672" t="inlineStr">
        <is>
          <t>991005137199702656</t>
        </is>
      </c>
      <c r="AX672" t="inlineStr">
        <is>
          <t>991005137199702656</t>
        </is>
      </c>
      <c r="AY672" t="inlineStr">
        <is>
          <t>2267800380002656</t>
        </is>
      </c>
      <c r="AZ672" t="inlineStr">
        <is>
          <t>BOOK</t>
        </is>
      </c>
      <c r="BB672" t="inlineStr">
        <is>
          <t>9780471761297</t>
        </is>
      </c>
      <c r="BC672" t="inlineStr">
        <is>
          <t>32285005365084</t>
        </is>
      </c>
      <c r="BD672" t="inlineStr">
        <is>
          <t>893430914</t>
        </is>
      </c>
    </row>
    <row r="673">
      <c r="A673" t="inlineStr">
        <is>
          <t>No</t>
        </is>
      </c>
      <c r="B673" t="inlineStr">
        <is>
          <t>QD255.5.E4 T48 1991</t>
        </is>
      </c>
      <c r="C673" t="inlineStr">
        <is>
          <t>0                      QD 0255500E  4                  T  48          1991</t>
        </is>
      </c>
      <c r="D673" t="inlineStr">
        <is>
          <t>Theoretical and computational models for organic chemistry / edited by Sebastião J. Formosinho, Imre G. Csizmadia, and Luís G. Arnaut.</t>
        </is>
      </c>
      <c r="F673" t="inlineStr">
        <is>
          <t>No</t>
        </is>
      </c>
      <c r="G673" t="inlineStr">
        <is>
          <t>1</t>
        </is>
      </c>
      <c r="H673" t="inlineStr">
        <is>
          <t>No</t>
        </is>
      </c>
      <c r="I673" t="inlineStr">
        <is>
          <t>No</t>
        </is>
      </c>
      <c r="J673" t="inlineStr">
        <is>
          <t>0</t>
        </is>
      </c>
      <c r="L673" t="inlineStr">
        <is>
          <t>Dordrecht ; Boston : Kluwer Academic Publishers, c1991.</t>
        </is>
      </c>
      <c r="M673" t="inlineStr">
        <is>
          <t>1991</t>
        </is>
      </c>
      <c r="O673" t="inlineStr">
        <is>
          <t>eng</t>
        </is>
      </c>
      <c r="P673" t="inlineStr">
        <is>
          <t xml:space="preserve">ne </t>
        </is>
      </c>
      <c r="Q673" t="inlineStr">
        <is>
          <t>NATO ASI series. Series C, Mathematical and physical sciences ; vol. 339</t>
        </is>
      </c>
      <c r="R673" t="inlineStr">
        <is>
          <t xml:space="preserve">QD </t>
        </is>
      </c>
      <c r="S673" t="n">
        <v>20</v>
      </c>
      <c r="T673" t="n">
        <v>20</v>
      </c>
      <c r="U673" t="inlineStr">
        <is>
          <t>2010-06-30</t>
        </is>
      </c>
      <c r="V673" t="inlineStr">
        <is>
          <t>2010-06-30</t>
        </is>
      </c>
      <c r="W673" t="inlineStr">
        <is>
          <t>1991-12-15</t>
        </is>
      </c>
      <c r="X673" t="inlineStr">
        <is>
          <t>1991-12-15</t>
        </is>
      </c>
      <c r="Y673" t="n">
        <v>130</v>
      </c>
      <c r="Z673" t="n">
        <v>99</v>
      </c>
      <c r="AA673" t="n">
        <v>104</v>
      </c>
      <c r="AB673" t="n">
        <v>1</v>
      </c>
      <c r="AC673" t="n">
        <v>1</v>
      </c>
      <c r="AD673" t="n">
        <v>4</v>
      </c>
      <c r="AE673" t="n">
        <v>4</v>
      </c>
      <c r="AF673" t="n">
        <v>0</v>
      </c>
      <c r="AG673" t="n">
        <v>0</v>
      </c>
      <c r="AH673" t="n">
        <v>3</v>
      </c>
      <c r="AI673" t="n">
        <v>3</v>
      </c>
      <c r="AJ673" t="n">
        <v>3</v>
      </c>
      <c r="AK673" t="n">
        <v>3</v>
      </c>
      <c r="AL673" t="n">
        <v>0</v>
      </c>
      <c r="AM673" t="n">
        <v>0</v>
      </c>
      <c r="AN673" t="n">
        <v>0</v>
      </c>
      <c r="AO673" t="n">
        <v>0</v>
      </c>
      <c r="AP673" t="inlineStr">
        <is>
          <t>No</t>
        </is>
      </c>
      <c r="AQ673" t="inlineStr">
        <is>
          <t>Yes</t>
        </is>
      </c>
      <c r="AR673">
        <f>HYPERLINK("http://catalog.hathitrust.org/Record/009464771","HathiTrust Record")</f>
        <v/>
      </c>
      <c r="AS673">
        <f>HYPERLINK("https://creighton-primo.hosted.exlibrisgroup.com/primo-explore/search?tab=default_tab&amp;search_scope=EVERYTHING&amp;vid=01CRU&amp;lang=en_US&amp;offset=0&amp;query=any,contains,991005413619702656","Catalog Record")</f>
        <v/>
      </c>
      <c r="AT673">
        <f>HYPERLINK("http://www.worldcat.org/oclc/23870455","WorldCat Record")</f>
        <v/>
      </c>
      <c r="AU673" t="inlineStr">
        <is>
          <t>3856763944:eng</t>
        </is>
      </c>
      <c r="AV673" t="inlineStr">
        <is>
          <t>23870455</t>
        </is>
      </c>
      <c r="AW673" t="inlineStr">
        <is>
          <t>991005413619702656</t>
        </is>
      </c>
      <c r="AX673" t="inlineStr">
        <is>
          <t>991005413619702656</t>
        </is>
      </c>
      <c r="AY673" t="inlineStr">
        <is>
          <t>2267658820002656</t>
        </is>
      </c>
      <c r="AZ673" t="inlineStr">
        <is>
          <t>BOOK</t>
        </is>
      </c>
      <c r="BB673" t="inlineStr">
        <is>
          <t>9780792313144</t>
        </is>
      </c>
      <c r="BC673" t="inlineStr">
        <is>
          <t>32285000860568</t>
        </is>
      </c>
      <c r="BD673" t="inlineStr">
        <is>
          <t>893890194</t>
        </is>
      </c>
    </row>
    <row r="674">
      <c r="A674" t="inlineStr">
        <is>
          <t>No</t>
        </is>
      </c>
      <c r="B674" t="inlineStr">
        <is>
          <t>QD255.5.M35 G87 1986</t>
        </is>
      </c>
      <c r="C674" t="inlineStr">
        <is>
          <t>0                      QD 0255500M  35                 G  87          1986</t>
        </is>
      </c>
      <c r="D674" t="inlineStr">
        <is>
          <t>Mathematical concepts in organic chemistry / Ivan Gutman, Oskar E. Polansky.</t>
        </is>
      </c>
      <c r="F674" t="inlineStr">
        <is>
          <t>No</t>
        </is>
      </c>
      <c r="G674" t="inlineStr">
        <is>
          <t>1</t>
        </is>
      </c>
      <c r="H674" t="inlineStr">
        <is>
          <t>No</t>
        </is>
      </c>
      <c r="I674" t="inlineStr">
        <is>
          <t>No</t>
        </is>
      </c>
      <c r="J674" t="inlineStr">
        <is>
          <t>0</t>
        </is>
      </c>
      <c r="K674" t="inlineStr">
        <is>
          <t>Gutman, Ivan, 1947-</t>
        </is>
      </c>
      <c r="L674" t="inlineStr">
        <is>
          <t>Berlin ; New York : Springer-Verlag, c1986.</t>
        </is>
      </c>
      <c r="M674" t="inlineStr">
        <is>
          <t>1986</t>
        </is>
      </c>
      <c r="O674" t="inlineStr">
        <is>
          <t>eng</t>
        </is>
      </c>
      <c r="P674" t="inlineStr">
        <is>
          <t xml:space="preserve">gw </t>
        </is>
      </c>
      <c r="R674" t="inlineStr">
        <is>
          <t xml:space="preserve">QD </t>
        </is>
      </c>
      <c r="S674" t="n">
        <v>3</v>
      </c>
      <c r="T674" t="n">
        <v>3</v>
      </c>
      <c r="U674" t="inlineStr">
        <is>
          <t>2009-09-02</t>
        </is>
      </c>
      <c r="V674" t="inlineStr">
        <is>
          <t>2009-09-02</t>
        </is>
      </c>
      <c r="W674" t="inlineStr">
        <is>
          <t>1993-01-28</t>
        </is>
      </c>
      <c r="X674" t="inlineStr">
        <is>
          <t>1993-01-28</t>
        </is>
      </c>
      <c r="Y674" t="n">
        <v>267</v>
      </c>
      <c r="Z674" t="n">
        <v>196</v>
      </c>
      <c r="AA674" t="n">
        <v>215</v>
      </c>
      <c r="AB674" t="n">
        <v>3</v>
      </c>
      <c r="AC674" t="n">
        <v>3</v>
      </c>
      <c r="AD674" t="n">
        <v>12</v>
      </c>
      <c r="AE674" t="n">
        <v>12</v>
      </c>
      <c r="AF674" t="n">
        <v>4</v>
      </c>
      <c r="AG674" t="n">
        <v>4</v>
      </c>
      <c r="AH674" t="n">
        <v>3</v>
      </c>
      <c r="AI674" t="n">
        <v>3</v>
      </c>
      <c r="AJ674" t="n">
        <v>7</v>
      </c>
      <c r="AK674" t="n">
        <v>7</v>
      </c>
      <c r="AL674" t="n">
        <v>2</v>
      </c>
      <c r="AM674" t="n">
        <v>2</v>
      </c>
      <c r="AN674" t="n">
        <v>0</v>
      </c>
      <c r="AO674" t="n">
        <v>0</v>
      </c>
      <c r="AP674" t="inlineStr">
        <is>
          <t>No</t>
        </is>
      </c>
      <c r="AQ674" t="inlineStr">
        <is>
          <t>Yes</t>
        </is>
      </c>
      <c r="AR674">
        <f>HYPERLINK("http://catalog.hathitrust.org/Record/000831948","HathiTrust Record")</f>
        <v/>
      </c>
      <c r="AS674">
        <f>HYPERLINK("https://creighton-primo.hosted.exlibrisgroup.com/primo-explore/search?tab=default_tab&amp;search_scope=EVERYTHING&amp;vid=01CRU&amp;lang=en_US&amp;offset=0&amp;query=any,contains,991000856829702656","Catalog Record")</f>
        <v/>
      </c>
      <c r="AT674">
        <f>HYPERLINK("http://www.worldcat.org/oclc/13665054","WorldCat Record")</f>
        <v/>
      </c>
      <c r="AU674" t="inlineStr">
        <is>
          <t>7070713:eng</t>
        </is>
      </c>
      <c r="AV674" t="inlineStr">
        <is>
          <t>13665054</t>
        </is>
      </c>
      <c r="AW674" t="inlineStr">
        <is>
          <t>991000856829702656</t>
        </is>
      </c>
      <c r="AX674" t="inlineStr">
        <is>
          <t>991000856829702656</t>
        </is>
      </c>
      <c r="AY674" t="inlineStr">
        <is>
          <t>2271411780002656</t>
        </is>
      </c>
      <c r="AZ674" t="inlineStr">
        <is>
          <t>BOOK</t>
        </is>
      </c>
      <c r="BB674" t="inlineStr">
        <is>
          <t>9780387162355</t>
        </is>
      </c>
      <c r="BC674" t="inlineStr">
        <is>
          <t>32285001515765</t>
        </is>
      </c>
      <c r="BD674" t="inlineStr">
        <is>
          <t>893878411</t>
        </is>
      </c>
    </row>
    <row r="675">
      <c r="A675" t="inlineStr">
        <is>
          <t>No</t>
        </is>
      </c>
      <c r="B675" t="inlineStr">
        <is>
          <t>QD256 .R4</t>
        </is>
      </c>
      <c r="C675" t="inlineStr">
        <is>
          <t>0                      QD 0256000R  4</t>
        </is>
      </c>
      <c r="D675" t="inlineStr">
        <is>
          <t>Introduction to organic research, by E. Emmet Reid ...</t>
        </is>
      </c>
      <c r="F675" t="inlineStr">
        <is>
          <t>No</t>
        </is>
      </c>
      <c r="G675" t="inlineStr">
        <is>
          <t>1</t>
        </is>
      </c>
      <c r="H675" t="inlineStr">
        <is>
          <t>No</t>
        </is>
      </c>
      <c r="I675" t="inlineStr">
        <is>
          <t>No</t>
        </is>
      </c>
      <c r="J675" t="inlineStr">
        <is>
          <t>0</t>
        </is>
      </c>
      <c r="K675" t="inlineStr">
        <is>
          <t>Reid, E. Emmet (Ebenezer Emmet), 1872-</t>
        </is>
      </c>
      <c r="L675" t="inlineStr">
        <is>
          <t>New York, D. Van Nostrand company, 1924.</t>
        </is>
      </c>
      <c r="M675" t="inlineStr">
        <is>
          <t>1924</t>
        </is>
      </c>
      <c r="O675" t="inlineStr">
        <is>
          <t>eng</t>
        </is>
      </c>
      <c r="P675" t="inlineStr">
        <is>
          <t>nyu</t>
        </is>
      </c>
      <c r="R675" t="inlineStr">
        <is>
          <t xml:space="preserve">QD </t>
        </is>
      </c>
      <c r="S675" t="n">
        <v>1</v>
      </c>
      <c r="T675" t="n">
        <v>1</v>
      </c>
      <c r="U675" t="inlineStr">
        <is>
          <t>2006-03-25</t>
        </is>
      </c>
      <c r="V675" t="inlineStr">
        <is>
          <t>2006-03-25</t>
        </is>
      </c>
      <c r="W675" t="inlineStr">
        <is>
          <t>1997-06-11</t>
        </is>
      </c>
      <c r="X675" t="inlineStr">
        <is>
          <t>1997-06-11</t>
        </is>
      </c>
      <c r="Y675" t="n">
        <v>149</v>
      </c>
      <c r="Z675" t="n">
        <v>132</v>
      </c>
      <c r="AA675" t="n">
        <v>139</v>
      </c>
      <c r="AB675" t="n">
        <v>1</v>
      </c>
      <c r="AC675" t="n">
        <v>1</v>
      </c>
      <c r="AD675" t="n">
        <v>7</v>
      </c>
      <c r="AE675" t="n">
        <v>7</v>
      </c>
      <c r="AF675" t="n">
        <v>2</v>
      </c>
      <c r="AG675" t="n">
        <v>2</v>
      </c>
      <c r="AH675" t="n">
        <v>0</v>
      </c>
      <c r="AI675" t="n">
        <v>0</v>
      </c>
      <c r="AJ675" t="n">
        <v>7</v>
      </c>
      <c r="AK675" t="n">
        <v>7</v>
      </c>
      <c r="AL675" t="n">
        <v>0</v>
      </c>
      <c r="AM675" t="n">
        <v>0</v>
      </c>
      <c r="AN675" t="n">
        <v>0</v>
      </c>
      <c r="AO675" t="n">
        <v>0</v>
      </c>
      <c r="AP675" t="inlineStr">
        <is>
          <t>Yes</t>
        </is>
      </c>
      <c r="AQ675" t="inlineStr">
        <is>
          <t>No</t>
        </is>
      </c>
      <c r="AR675">
        <f>HYPERLINK("http://catalog.hathitrust.org/Record/001113680","HathiTrust Record")</f>
        <v/>
      </c>
      <c r="AS675">
        <f>HYPERLINK("https://creighton-primo.hosted.exlibrisgroup.com/primo-explore/search?tab=default_tab&amp;search_scope=EVERYTHING&amp;vid=01CRU&amp;lang=en_US&amp;offset=0&amp;query=any,contains,991004131239702656","Catalog Record")</f>
        <v/>
      </c>
      <c r="AT675">
        <f>HYPERLINK("http://www.worldcat.org/oclc/2470367","WorldCat Record")</f>
        <v/>
      </c>
      <c r="AU675" t="inlineStr">
        <is>
          <t>5070742:eng</t>
        </is>
      </c>
      <c r="AV675" t="inlineStr">
        <is>
          <t>2470367</t>
        </is>
      </c>
      <c r="AW675" t="inlineStr">
        <is>
          <t>991004131239702656</t>
        </is>
      </c>
      <c r="AX675" t="inlineStr">
        <is>
          <t>991004131239702656</t>
        </is>
      </c>
      <c r="AY675" t="inlineStr">
        <is>
          <t>2256523960002656</t>
        </is>
      </c>
      <c r="AZ675" t="inlineStr">
        <is>
          <t>BOOK</t>
        </is>
      </c>
      <c r="BC675" t="inlineStr">
        <is>
          <t>32285002794005</t>
        </is>
      </c>
      <c r="BD675" t="inlineStr">
        <is>
          <t>893618272</t>
        </is>
      </c>
    </row>
    <row r="676">
      <c r="A676" t="inlineStr">
        <is>
          <t>No</t>
        </is>
      </c>
      <c r="B676" t="inlineStr">
        <is>
          <t>QD256.5 .S84 2002</t>
        </is>
      </c>
      <c r="C676" t="inlineStr">
        <is>
          <t>0                      QD 0256500S  84          2002</t>
        </is>
      </c>
      <c r="D676" t="inlineStr">
        <is>
          <t>Organic chemistry / J. William Suggs.</t>
        </is>
      </c>
      <c r="F676" t="inlineStr">
        <is>
          <t>No</t>
        </is>
      </c>
      <c r="G676" t="inlineStr">
        <is>
          <t>1</t>
        </is>
      </c>
      <c r="H676" t="inlineStr">
        <is>
          <t>No</t>
        </is>
      </c>
      <c r="I676" t="inlineStr">
        <is>
          <t>No</t>
        </is>
      </c>
      <c r="J676" t="inlineStr">
        <is>
          <t>0</t>
        </is>
      </c>
      <c r="K676" t="inlineStr">
        <is>
          <t>Suggs, J. William.</t>
        </is>
      </c>
      <c r="L676" t="inlineStr">
        <is>
          <t>Hauppauge, N.Y. : Barron's, c2002.</t>
        </is>
      </c>
      <c r="M676" t="inlineStr">
        <is>
          <t>2002</t>
        </is>
      </c>
      <c r="O676" t="inlineStr">
        <is>
          <t>eng</t>
        </is>
      </c>
      <c r="P676" t="inlineStr">
        <is>
          <t>nyu</t>
        </is>
      </c>
      <c r="Q676" t="inlineStr">
        <is>
          <t>Barron's college review series. Science</t>
        </is>
      </c>
      <c r="R676" t="inlineStr">
        <is>
          <t xml:space="preserve">QD </t>
        </is>
      </c>
      <c r="S676" t="n">
        <v>35</v>
      </c>
      <c r="T676" t="n">
        <v>35</v>
      </c>
      <c r="U676" t="inlineStr">
        <is>
          <t>2010-08-30</t>
        </is>
      </c>
      <c r="V676" t="inlineStr">
        <is>
          <t>2010-08-30</t>
        </is>
      </c>
      <c r="W676" t="inlineStr">
        <is>
          <t>2003-02-26</t>
        </is>
      </c>
      <c r="X676" t="inlineStr">
        <is>
          <t>2003-02-26</t>
        </is>
      </c>
      <c r="Y676" t="n">
        <v>130</v>
      </c>
      <c r="Z676" t="n">
        <v>110</v>
      </c>
      <c r="AA676" t="n">
        <v>115</v>
      </c>
      <c r="AB676" t="n">
        <v>1</v>
      </c>
      <c r="AC676" t="n">
        <v>1</v>
      </c>
      <c r="AD676" t="n">
        <v>1</v>
      </c>
      <c r="AE676" t="n">
        <v>1</v>
      </c>
      <c r="AF676" t="n">
        <v>0</v>
      </c>
      <c r="AG676" t="n">
        <v>0</v>
      </c>
      <c r="AH676" t="n">
        <v>1</v>
      </c>
      <c r="AI676" t="n">
        <v>1</v>
      </c>
      <c r="AJ676" t="n">
        <v>1</v>
      </c>
      <c r="AK676" t="n">
        <v>1</v>
      </c>
      <c r="AL676" t="n">
        <v>0</v>
      </c>
      <c r="AM676" t="n">
        <v>0</v>
      </c>
      <c r="AN676" t="n">
        <v>0</v>
      </c>
      <c r="AO676" t="n">
        <v>0</v>
      </c>
      <c r="AP676" t="inlineStr">
        <is>
          <t>No</t>
        </is>
      </c>
      <c r="AQ676" t="inlineStr">
        <is>
          <t>No</t>
        </is>
      </c>
      <c r="AS676">
        <f>HYPERLINK("https://creighton-primo.hosted.exlibrisgroup.com/primo-explore/search?tab=default_tab&amp;search_scope=EVERYTHING&amp;vid=01CRU&amp;lang=en_US&amp;offset=0&amp;query=any,contains,991003980799702656","Catalog Record")</f>
        <v/>
      </c>
      <c r="AT676">
        <f>HYPERLINK("http://www.worldcat.org/oclc/49403758","WorldCat Record")</f>
        <v/>
      </c>
      <c r="AU676" t="inlineStr">
        <is>
          <t>2042214124:eng</t>
        </is>
      </c>
      <c r="AV676" t="inlineStr">
        <is>
          <t>49403758</t>
        </is>
      </c>
      <c r="AW676" t="inlineStr">
        <is>
          <t>991003980799702656</t>
        </is>
      </c>
      <c r="AX676" t="inlineStr">
        <is>
          <t>991003980799702656</t>
        </is>
      </c>
      <c r="AY676" t="inlineStr">
        <is>
          <t>2258470900002656</t>
        </is>
      </c>
      <c r="AZ676" t="inlineStr">
        <is>
          <t>BOOK</t>
        </is>
      </c>
      <c r="BB676" t="inlineStr">
        <is>
          <t>9780764119255</t>
        </is>
      </c>
      <c r="BC676" t="inlineStr">
        <is>
          <t>32285004680996</t>
        </is>
      </c>
      <c r="BD676" t="inlineStr">
        <is>
          <t>893228759</t>
        </is>
      </c>
    </row>
    <row r="677">
      <c r="A677" t="inlineStr">
        <is>
          <t>No</t>
        </is>
      </c>
      <c r="B677" t="inlineStr">
        <is>
          <t>QD257 .H67 1986</t>
        </is>
      </c>
      <c r="C677" t="inlineStr">
        <is>
          <t>0                      QD 0257000H  67          1986</t>
        </is>
      </c>
      <c r="D677" t="inlineStr">
        <is>
          <t>Problems in organic chemistry : a lead-oriented approach / David E. Horn, Michael J. Strauss.</t>
        </is>
      </c>
      <c r="F677" t="inlineStr">
        <is>
          <t>No</t>
        </is>
      </c>
      <c r="G677" t="inlineStr">
        <is>
          <t>1</t>
        </is>
      </c>
      <c r="H677" t="inlineStr">
        <is>
          <t>No</t>
        </is>
      </c>
      <c r="I677" t="inlineStr">
        <is>
          <t>No</t>
        </is>
      </c>
      <c r="J677" t="inlineStr">
        <is>
          <t>0</t>
        </is>
      </c>
      <c r="K677" t="inlineStr">
        <is>
          <t>Horn, David E.</t>
        </is>
      </c>
      <c r="L677" t="inlineStr">
        <is>
          <t>New York : Wiley, c1986.</t>
        </is>
      </c>
      <c r="M677" t="inlineStr">
        <is>
          <t>1986</t>
        </is>
      </c>
      <c r="O677" t="inlineStr">
        <is>
          <t>eng</t>
        </is>
      </c>
      <c r="P677" t="inlineStr">
        <is>
          <t>nyu</t>
        </is>
      </c>
      <c r="R677" t="inlineStr">
        <is>
          <t xml:space="preserve">QD </t>
        </is>
      </c>
      <c r="S677" t="n">
        <v>11</v>
      </c>
      <c r="T677" t="n">
        <v>11</v>
      </c>
      <c r="U677" t="inlineStr">
        <is>
          <t>2008-07-16</t>
        </is>
      </c>
      <c r="V677" t="inlineStr">
        <is>
          <t>2008-07-16</t>
        </is>
      </c>
      <c r="W677" t="inlineStr">
        <is>
          <t>1990-06-29</t>
        </is>
      </c>
      <c r="X677" t="inlineStr">
        <is>
          <t>1990-06-29</t>
        </is>
      </c>
      <c r="Y677" t="n">
        <v>149</v>
      </c>
      <c r="Z677" t="n">
        <v>89</v>
      </c>
      <c r="AA677" t="n">
        <v>90</v>
      </c>
      <c r="AB677" t="n">
        <v>1</v>
      </c>
      <c r="AC677" t="n">
        <v>1</v>
      </c>
      <c r="AD677" t="n">
        <v>3</v>
      </c>
      <c r="AE677" t="n">
        <v>3</v>
      </c>
      <c r="AF677" t="n">
        <v>2</v>
      </c>
      <c r="AG677" t="n">
        <v>2</v>
      </c>
      <c r="AH677" t="n">
        <v>1</v>
      </c>
      <c r="AI677" t="n">
        <v>1</v>
      </c>
      <c r="AJ677" t="n">
        <v>2</v>
      </c>
      <c r="AK677" t="n">
        <v>2</v>
      </c>
      <c r="AL677" t="n">
        <v>0</v>
      </c>
      <c r="AM677" t="n">
        <v>0</v>
      </c>
      <c r="AN677" t="n">
        <v>0</v>
      </c>
      <c r="AO677" t="n">
        <v>0</v>
      </c>
      <c r="AP677" t="inlineStr">
        <is>
          <t>No</t>
        </is>
      </c>
      <c r="AQ677" t="inlineStr">
        <is>
          <t>Yes</t>
        </is>
      </c>
      <c r="AR677">
        <f>HYPERLINK("http://catalog.hathitrust.org/Record/000623513","HathiTrust Record")</f>
        <v/>
      </c>
      <c r="AS677">
        <f>HYPERLINK("https://creighton-primo.hosted.exlibrisgroup.com/primo-explore/search?tab=default_tab&amp;search_scope=EVERYTHING&amp;vid=01CRU&amp;lang=en_US&amp;offset=0&amp;query=any,contains,991000664639702656","Catalog Record")</f>
        <v/>
      </c>
      <c r="AT677">
        <f>HYPERLINK("http://www.worldcat.org/oclc/12262928","WorldCat Record")</f>
        <v/>
      </c>
      <c r="AU677" t="inlineStr">
        <is>
          <t>836721538:eng</t>
        </is>
      </c>
      <c r="AV677" t="inlineStr">
        <is>
          <t>12262928</t>
        </is>
      </c>
      <c r="AW677" t="inlineStr">
        <is>
          <t>991000664639702656</t>
        </is>
      </c>
      <c r="AX677" t="inlineStr">
        <is>
          <t>991000664639702656</t>
        </is>
      </c>
      <c r="AY677" t="inlineStr">
        <is>
          <t>2270878500002656</t>
        </is>
      </c>
      <c r="AZ677" t="inlineStr">
        <is>
          <t>BOOK</t>
        </is>
      </c>
      <c r="BB677" t="inlineStr">
        <is>
          <t>9780471816492</t>
        </is>
      </c>
      <c r="BC677" t="inlineStr">
        <is>
          <t>32285000217470</t>
        </is>
      </c>
      <c r="BD677" t="inlineStr">
        <is>
          <t>893496452</t>
        </is>
      </c>
    </row>
    <row r="678">
      <c r="A678" t="inlineStr">
        <is>
          <t>No</t>
        </is>
      </c>
      <c r="B678" t="inlineStr">
        <is>
          <t>QD257.7 .E28 1995</t>
        </is>
      </c>
      <c r="C678" t="inlineStr">
        <is>
          <t>0                      QD 0257700E  28          1995</t>
        </is>
      </c>
      <c r="D678" t="inlineStr">
        <is>
          <t>Desk reference for organic chemists / Michael B. East and David J. Ager.</t>
        </is>
      </c>
      <c r="F678" t="inlineStr">
        <is>
          <t>No</t>
        </is>
      </c>
      <c r="G678" t="inlineStr">
        <is>
          <t>1</t>
        </is>
      </c>
      <c r="H678" t="inlineStr">
        <is>
          <t>No</t>
        </is>
      </c>
      <c r="I678" t="inlineStr">
        <is>
          <t>No</t>
        </is>
      </c>
      <c r="J678" t="inlineStr">
        <is>
          <t>0</t>
        </is>
      </c>
      <c r="K678" t="inlineStr">
        <is>
          <t>East, Michael B.</t>
        </is>
      </c>
      <c r="L678" t="inlineStr">
        <is>
          <t>Malabar, Fla. : Krieger, 1995.</t>
        </is>
      </c>
      <c r="M678" t="inlineStr">
        <is>
          <t>1994</t>
        </is>
      </c>
      <c r="O678" t="inlineStr">
        <is>
          <t>eng</t>
        </is>
      </c>
      <c r="P678" t="inlineStr">
        <is>
          <t>flu</t>
        </is>
      </c>
      <c r="R678" t="inlineStr">
        <is>
          <t xml:space="preserve">QD </t>
        </is>
      </c>
      <c r="S678" t="n">
        <v>7</v>
      </c>
      <c r="T678" t="n">
        <v>7</v>
      </c>
      <c r="U678" t="inlineStr">
        <is>
          <t>1997-09-04</t>
        </is>
      </c>
      <c r="V678" t="inlineStr">
        <is>
          <t>1997-09-04</t>
        </is>
      </c>
      <c r="W678" t="inlineStr">
        <is>
          <t>1996-02-09</t>
        </is>
      </c>
      <c r="X678" t="inlineStr">
        <is>
          <t>1996-02-09</t>
        </is>
      </c>
      <c r="Y678" t="n">
        <v>205</v>
      </c>
      <c r="Z678" t="n">
        <v>177</v>
      </c>
      <c r="AA678" t="n">
        <v>177</v>
      </c>
      <c r="AB678" t="n">
        <v>1</v>
      </c>
      <c r="AC678" t="n">
        <v>1</v>
      </c>
      <c r="AD678" t="n">
        <v>3</v>
      </c>
      <c r="AE678" t="n">
        <v>3</v>
      </c>
      <c r="AF678" t="n">
        <v>0</v>
      </c>
      <c r="AG678" t="n">
        <v>0</v>
      </c>
      <c r="AH678" t="n">
        <v>1</v>
      </c>
      <c r="AI678" t="n">
        <v>1</v>
      </c>
      <c r="AJ678" t="n">
        <v>3</v>
      </c>
      <c r="AK678" t="n">
        <v>3</v>
      </c>
      <c r="AL678" t="n">
        <v>0</v>
      </c>
      <c r="AM678" t="n">
        <v>0</v>
      </c>
      <c r="AN678" t="n">
        <v>0</v>
      </c>
      <c r="AO678" t="n">
        <v>0</v>
      </c>
      <c r="AP678" t="inlineStr">
        <is>
          <t>No</t>
        </is>
      </c>
      <c r="AQ678" t="inlineStr">
        <is>
          <t>No</t>
        </is>
      </c>
      <c r="AS678">
        <f>HYPERLINK("https://creighton-primo.hosted.exlibrisgroup.com/primo-explore/search?tab=default_tab&amp;search_scope=EVERYTHING&amp;vid=01CRU&amp;lang=en_US&amp;offset=0&amp;query=any,contains,991002238189702656","Catalog Record")</f>
        <v/>
      </c>
      <c r="AT678">
        <f>HYPERLINK("http://www.worldcat.org/oclc/28854478","WorldCat Record")</f>
        <v/>
      </c>
      <c r="AU678" t="inlineStr">
        <is>
          <t>30937928:eng</t>
        </is>
      </c>
      <c r="AV678" t="inlineStr">
        <is>
          <t>28854478</t>
        </is>
      </c>
      <c r="AW678" t="inlineStr">
        <is>
          <t>991002238189702656</t>
        </is>
      </c>
      <c r="AX678" t="inlineStr">
        <is>
          <t>991002238189702656</t>
        </is>
      </c>
      <c r="AY678" t="inlineStr">
        <is>
          <t>2263782180002656</t>
        </is>
      </c>
      <c r="AZ678" t="inlineStr">
        <is>
          <t>BOOK</t>
        </is>
      </c>
      <c r="BB678" t="inlineStr">
        <is>
          <t>9780894648182</t>
        </is>
      </c>
      <c r="BC678" t="inlineStr">
        <is>
          <t>32285002128717</t>
        </is>
      </c>
      <c r="BD678" t="inlineStr">
        <is>
          <t>893433659</t>
        </is>
      </c>
    </row>
    <row r="679">
      <c r="A679" t="inlineStr">
        <is>
          <t>No</t>
        </is>
      </c>
      <c r="B679" t="inlineStr">
        <is>
          <t>QD257.7 .K4313 1982</t>
        </is>
      </c>
      <c r="C679" t="inlineStr">
        <is>
          <t>0                      QD 0257700K  4313        1982</t>
        </is>
      </c>
      <c r="D679" t="inlineStr">
        <is>
          <t>Fundamentals of preparative organic chemistry / R. Keese, R.K. Müller, and T.P. Toube ; illustrated by H. Brühwiler.</t>
        </is>
      </c>
      <c r="F679" t="inlineStr">
        <is>
          <t>No</t>
        </is>
      </c>
      <c r="G679" t="inlineStr">
        <is>
          <t>1</t>
        </is>
      </c>
      <c r="H679" t="inlineStr">
        <is>
          <t>No</t>
        </is>
      </c>
      <c r="I679" t="inlineStr">
        <is>
          <t>No</t>
        </is>
      </c>
      <c r="J679" t="inlineStr">
        <is>
          <t>0</t>
        </is>
      </c>
      <c r="K679" t="inlineStr">
        <is>
          <t>Keese, Reinhart.</t>
        </is>
      </c>
      <c r="L679" t="inlineStr">
        <is>
          <t>Chichester, West Sussex : E. Horwood ; New York : Halsted Press, 1982.</t>
        </is>
      </c>
      <c r="M679" t="inlineStr">
        <is>
          <t>1982</t>
        </is>
      </c>
      <c r="O679" t="inlineStr">
        <is>
          <t>eng</t>
        </is>
      </c>
      <c r="P679" t="inlineStr">
        <is>
          <t>enk</t>
        </is>
      </c>
      <c r="R679" t="inlineStr">
        <is>
          <t xml:space="preserve">QD </t>
        </is>
      </c>
      <c r="S679" t="n">
        <v>1</v>
      </c>
      <c r="T679" t="n">
        <v>1</v>
      </c>
      <c r="U679" t="inlineStr">
        <is>
          <t>2005-01-18</t>
        </is>
      </c>
      <c r="V679" t="inlineStr">
        <is>
          <t>2005-01-18</t>
        </is>
      </c>
      <c r="W679" t="inlineStr">
        <is>
          <t>1993-01-28</t>
        </is>
      </c>
      <c r="X679" t="inlineStr">
        <is>
          <t>1993-01-28</t>
        </is>
      </c>
      <c r="Y679" t="n">
        <v>392</v>
      </c>
      <c r="Z679" t="n">
        <v>304</v>
      </c>
      <c r="AA679" t="n">
        <v>305</v>
      </c>
      <c r="AB679" t="n">
        <v>4</v>
      </c>
      <c r="AC679" t="n">
        <v>4</v>
      </c>
      <c r="AD679" t="n">
        <v>13</v>
      </c>
      <c r="AE679" t="n">
        <v>13</v>
      </c>
      <c r="AF679" t="n">
        <v>4</v>
      </c>
      <c r="AG679" t="n">
        <v>4</v>
      </c>
      <c r="AH679" t="n">
        <v>3</v>
      </c>
      <c r="AI679" t="n">
        <v>3</v>
      </c>
      <c r="AJ679" t="n">
        <v>6</v>
      </c>
      <c r="AK679" t="n">
        <v>6</v>
      </c>
      <c r="AL679" t="n">
        <v>3</v>
      </c>
      <c r="AM679" t="n">
        <v>3</v>
      </c>
      <c r="AN679" t="n">
        <v>0</v>
      </c>
      <c r="AO679" t="n">
        <v>0</v>
      </c>
      <c r="AP679" t="inlineStr">
        <is>
          <t>No</t>
        </is>
      </c>
      <c r="AQ679" t="inlineStr">
        <is>
          <t>No</t>
        </is>
      </c>
      <c r="AS679">
        <f>HYPERLINK("https://creighton-primo.hosted.exlibrisgroup.com/primo-explore/search?tab=default_tab&amp;search_scope=EVERYTHING&amp;vid=01CRU&amp;lang=en_US&amp;offset=0&amp;query=any,contains,991005229489702656","Catalog Record")</f>
        <v/>
      </c>
      <c r="AT679">
        <f>HYPERLINK("http://www.worldcat.org/oclc/8306597","WorldCat Record")</f>
        <v/>
      </c>
      <c r="AU679" t="inlineStr">
        <is>
          <t>2565025807:eng</t>
        </is>
      </c>
      <c r="AV679" t="inlineStr">
        <is>
          <t>8306597</t>
        </is>
      </c>
      <c r="AW679" t="inlineStr">
        <is>
          <t>991005229489702656</t>
        </is>
      </c>
      <c r="AX679" t="inlineStr">
        <is>
          <t>991005229489702656</t>
        </is>
      </c>
      <c r="AY679" t="inlineStr">
        <is>
          <t>2269230910002656</t>
        </is>
      </c>
      <c r="AZ679" t="inlineStr">
        <is>
          <t>BOOK</t>
        </is>
      </c>
      <c r="BB679" t="inlineStr">
        <is>
          <t>9780470275221</t>
        </is>
      </c>
      <c r="BC679" t="inlineStr">
        <is>
          <t>32285001515773</t>
        </is>
      </c>
      <c r="BD679" t="inlineStr">
        <is>
          <t>893795821</t>
        </is>
      </c>
    </row>
    <row r="680">
      <c r="A680" t="inlineStr">
        <is>
          <t>No</t>
        </is>
      </c>
      <c r="B680" t="inlineStr">
        <is>
          <t>QD257.7 .K4313 2007</t>
        </is>
      </c>
      <c r="C680" t="inlineStr">
        <is>
          <t>0                      QD 0257700K  4313        2007</t>
        </is>
      </c>
      <c r="D680" t="inlineStr">
        <is>
          <t>Practical organic synthesis : a student's guide / Reinhart Keese, Martin P. Brändle ; translated by Trevor P. Toube.</t>
        </is>
      </c>
      <c r="F680" t="inlineStr">
        <is>
          <t>No</t>
        </is>
      </c>
      <c r="G680" t="inlineStr">
        <is>
          <t>1</t>
        </is>
      </c>
      <c r="H680" t="inlineStr">
        <is>
          <t>No</t>
        </is>
      </c>
      <c r="I680" t="inlineStr">
        <is>
          <t>No</t>
        </is>
      </c>
      <c r="J680" t="inlineStr">
        <is>
          <t>0</t>
        </is>
      </c>
      <c r="K680" t="inlineStr">
        <is>
          <t>Keese, Reinhart.</t>
        </is>
      </c>
      <c r="L680" t="inlineStr">
        <is>
          <t>Chichester, West Sussex, England : John Wiley &amp; Sons, 2007, c2006.</t>
        </is>
      </c>
      <c r="M680" t="inlineStr">
        <is>
          <t>2007</t>
        </is>
      </c>
      <c r="O680" t="inlineStr">
        <is>
          <t>eng</t>
        </is>
      </c>
      <c r="P680" t="inlineStr">
        <is>
          <t>enk</t>
        </is>
      </c>
      <c r="R680" t="inlineStr">
        <is>
          <t xml:space="preserve">QD </t>
        </is>
      </c>
      <c r="S680" t="n">
        <v>1</v>
      </c>
      <c r="T680" t="n">
        <v>1</v>
      </c>
      <c r="U680" t="inlineStr">
        <is>
          <t>2007-08-02</t>
        </is>
      </c>
      <c r="V680" t="inlineStr">
        <is>
          <t>2007-08-02</t>
        </is>
      </c>
      <c r="W680" t="inlineStr">
        <is>
          <t>2007-08-02</t>
        </is>
      </c>
      <c r="X680" t="inlineStr">
        <is>
          <t>2007-08-02</t>
        </is>
      </c>
      <c r="Y680" t="n">
        <v>465</v>
      </c>
      <c r="Z680" t="n">
        <v>347</v>
      </c>
      <c r="AA680" t="n">
        <v>366</v>
      </c>
      <c r="AB680" t="n">
        <v>2</v>
      </c>
      <c r="AC680" t="n">
        <v>2</v>
      </c>
      <c r="AD680" t="n">
        <v>13</v>
      </c>
      <c r="AE680" t="n">
        <v>13</v>
      </c>
      <c r="AF680" t="n">
        <v>8</v>
      </c>
      <c r="AG680" t="n">
        <v>8</v>
      </c>
      <c r="AH680" t="n">
        <v>1</v>
      </c>
      <c r="AI680" t="n">
        <v>1</v>
      </c>
      <c r="AJ680" t="n">
        <v>6</v>
      </c>
      <c r="AK680" t="n">
        <v>6</v>
      </c>
      <c r="AL680" t="n">
        <v>1</v>
      </c>
      <c r="AM680" t="n">
        <v>1</v>
      </c>
      <c r="AN680" t="n">
        <v>0</v>
      </c>
      <c r="AO680" t="n">
        <v>0</v>
      </c>
      <c r="AP680" t="inlineStr">
        <is>
          <t>No</t>
        </is>
      </c>
      <c r="AQ680" t="inlineStr">
        <is>
          <t>Yes</t>
        </is>
      </c>
      <c r="AR680">
        <f>HYPERLINK("http://catalog.hathitrust.org/Record/009752680","HathiTrust Record")</f>
        <v/>
      </c>
      <c r="AS680">
        <f>HYPERLINK("https://creighton-primo.hosted.exlibrisgroup.com/primo-explore/search?tab=default_tab&amp;search_scope=EVERYTHING&amp;vid=01CRU&amp;lang=en_US&amp;offset=0&amp;query=any,contains,991005037199702656","Catalog Record")</f>
        <v/>
      </c>
      <c r="AT680">
        <f>HYPERLINK("http://www.worldcat.org/oclc/62896473","WorldCat Record")</f>
        <v/>
      </c>
      <c r="AU680" t="inlineStr">
        <is>
          <t>9622311314:eng</t>
        </is>
      </c>
      <c r="AV680" t="inlineStr">
        <is>
          <t>62896473</t>
        </is>
      </c>
      <c r="AW680" t="inlineStr">
        <is>
          <t>991005037199702656</t>
        </is>
      </c>
      <c r="AX680" t="inlineStr">
        <is>
          <t>991005037199702656</t>
        </is>
      </c>
      <c r="AY680" t="inlineStr">
        <is>
          <t>2267692920002656</t>
        </is>
      </c>
      <c r="AZ680" t="inlineStr">
        <is>
          <t>BOOK</t>
        </is>
      </c>
      <c r="BB680" t="inlineStr">
        <is>
          <t>9780470029657</t>
        </is>
      </c>
      <c r="BC680" t="inlineStr">
        <is>
          <t>32285005322440</t>
        </is>
      </c>
      <c r="BD680" t="inlineStr">
        <is>
          <t>893501223</t>
        </is>
      </c>
    </row>
    <row r="681">
      <c r="A681" t="inlineStr">
        <is>
          <t>No</t>
        </is>
      </c>
      <c r="B681" t="inlineStr">
        <is>
          <t>QD257.7 .L86 2003</t>
        </is>
      </c>
      <c r="C681" t="inlineStr">
        <is>
          <t>0                      QD 0257700L  86          2003</t>
        </is>
      </c>
      <c r="D681" t="inlineStr">
        <is>
          <t>Handbook of bond dissociation energies in organic compounds / Yu-Ran Luo.</t>
        </is>
      </c>
      <c r="F681" t="inlineStr">
        <is>
          <t>No</t>
        </is>
      </c>
      <c r="G681" t="inlineStr">
        <is>
          <t>1</t>
        </is>
      </c>
      <c r="H681" t="inlineStr">
        <is>
          <t>No</t>
        </is>
      </c>
      <c r="I681" t="inlineStr">
        <is>
          <t>No</t>
        </is>
      </c>
      <c r="J681" t="inlineStr">
        <is>
          <t>0</t>
        </is>
      </c>
      <c r="K681" t="inlineStr">
        <is>
          <t>Luo, Yu-Ran.</t>
        </is>
      </c>
      <c r="L681" t="inlineStr">
        <is>
          <t>Boca Raton, Fla. : CRC Press, c2003.</t>
        </is>
      </c>
      <c r="M681" t="inlineStr">
        <is>
          <t>2003</t>
        </is>
      </c>
      <c r="O681" t="inlineStr">
        <is>
          <t>eng</t>
        </is>
      </c>
      <c r="P681" t="inlineStr">
        <is>
          <t>flu</t>
        </is>
      </c>
      <c r="R681" t="inlineStr">
        <is>
          <t xml:space="preserve">QD </t>
        </is>
      </c>
      <c r="S681" t="n">
        <v>1</v>
      </c>
      <c r="T681" t="n">
        <v>1</v>
      </c>
      <c r="U681" t="inlineStr">
        <is>
          <t>2003-03-17</t>
        </is>
      </c>
      <c r="V681" t="inlineStr">
        <is>
          <t>2003-03-17</t>
        </is>
      </c>
      <c r="W681" t="inlineStr">
        <is>
          <t>2003-03-17</t>
        </is>
      </c>
      <c r="X681" t="inlineStr">
        <is>
          <t>2003-03-17</t>
        </is>
      </c>
      <c r="Y681" t="n">
        <v>254</v>
      </c>
      <c r="Z681" t="n">
        <v>190</v>
      </c>
      <c r="AA681" t="n">
        <v>223</v>
      </c>
      <c r="AB681" t="n">
        <v>3</v>
      </c>
      <c r="AC681" t="n">
        <v>4</v>
      </c>
      <c r="AD681" t="n">
        <v>11</v>
      </c>
      <c r="AE681" t="n">
        <v>12</v>
      </c>
      <c r="AF681" t="n">
        <v>4</v>
      </c>
      <c r="AG681" t="n">
        <v>4</v>
      </c>
      <c r="AH681" t="n">
        <v>3</v>
      </c>
      <c r="AI681" t="n">
        <v>3</v>
      </c>
      <c r="AJ681" t="n">
        <v>4</v>
      </c>
      <c r="AK681" t="n">
        <v>4</v>
      </c>
      <c r="AL681" t="n">
        <v>2</v>
      </c>
      <c r="AM681" t="n">
        <v>3</v>
      </c>
      <c r="AN681" t="n">
        <v>0</v>
      </c>
      <c r="AO681" t="n">
        <v>0</v>
      </c>
      <c r="AP681" t="inlineStr">
        <is>
          <t>No</t>
        </is>
      </c>
      <c r="AQ681" t="inlineStr">
        <is>
          <t>No</t>
        </is>
      </c>
      <c r="AS681">
        <f>HYPERLINK("https://creighton-primo.hosted.exlibrisgroup.com/primo-explore/search?tab=default_tab&amp;search_scope=EVERYTHING&amp;vid=01CRU&amp;lang=en_US&amp;offset=0&amp;query=any,contains,991003999419702656","Catalog Record")</f>
        <v/>
      </c>
      <c r="AT681">
        <f>HYPERLINK("http://www.worldcat.org/oclc/50441542","WorldCat Record")</f>
        <v/>
      </c>
      <c r="AU681" t="inlineStr">
        <is>
          <t>970693:eng</t>
        </is>
      </c>
      <c r="AV681" t="inlineStr">
        <is>
          <t>50441542</t>
        </is>
      </c>
      <c r="AW681" t="inlineStr">
        <is>
          <t>991003999419702656</t>
        </is>
      </c>
      <c r="AX681" t="inlineStr">
        <is>
          <t>991003999419702656</t>
        </is>
      </c>
      <c r="AY681" t="inlineStr">
        <is>
          <t>2258726610002656</t>
        </is>
      </c>
      <c r="AZ681" t="inlineStr">
        <is>
          <t>BOOK</t>
        </is>
      </c>
      <c r="BB681" t="inlineStr">
        <is>
          <t>9780849315893</t>
        </is>
      </c>
      <c r="BC681" t="inlineStr">
        <is>
          <t>32285004684089</t>
        </is>
      </c>
      <c r="BD681" t="inlineStr">
        <is>
          <t>893894453</t>
        </is>
      </c>
    </row>
    <row r="682">
      <c r="A682" t="inlineStr">
        <is>
          <t>No</t>
        </is>
      </c>
      <c r="B682" t="inlineStr">
        <is>
          <t>QD258 .H95</t>
        </is>
      </c>
      <c r="C682" t="inlineStr">
        <is>
          <t>0                      QD 0258000H  95</t>
        </is>
      </c>
      <c r="D682" t="inlineStr">
        <is>
          <t>Free-radical chain reactions [by] Earl S. Huyser.</t>
        </is>
      </c>
      <c r="F682" t="inlineStr">
        <is>
          <t>No</t>
        </is>
      </c>
      <c r="G682" t="inlineStr">
        <is>
          <t>1</t>
        </is>
      </c>
      <c r="H682" t="inlineStr">
        <is>
          <t>No</t>
        </is>
      </c>
      <c r="I682" t="inlineStr">
        <is>
          <t>No</t>
        </is>
      </c>
      <c r="J682" t="inlineStr">
        <is>
          <t>0</t>
        </is>
      </c>
      <c r="K682" t="inlineStr">
        <is>
          <t>Huyser, Earl S., 1927-</t>
        </is>
      </c>
      <c r="L682" t="inlineStr">
        <is>
          <t>New York, Wiley-Interscience [1970]</t>
        </is>
      </c>
      <c r="M682" t="inlineStr">
        <is>
          <t>1970</t>
        </is>
      </c>
      <c r="O682" t="inlineStr">
        <is>
          <t>eng</t>
        </is>
      </c>
      <c r="P682" t="inlineStr">
        <is>
          <t>nyu</t>
        </is>
      </c>
      <c r="R682" t="inlineStr">
        <is>
          <t xml:space="preserve">QD </t>
        </is>
      </c>
      <c r="S682" t="n">
        <v>2</v>
      </c>
      <c r="T682" t="n">
        <v>2</v>
      </c>
      <c r="U682" t="inlineStr">
        <is>
          <t>1998-04-26</t>
        </is>
      </c>
      <c r="V682" t="inlineStr">
        <is>
          <t>1998-04-26</t>
        </is>
      </c>
      <c r="W682" t="inlineStr">
        <is>
          <t>1997-06-11</t>
        </is>
      </c>
      <c r="X682" t="inlineStr">
        <is>
          <t>1997-06-11</t>
        </is>
      </c>
      <c r="Y682" t="n">
        <v>467</v>
      </c>
      <c r="Z682" t="n">
        <v>364</v>
      </c>
      <c r="AA682" t="n">
        <v>372</v>
      </c>
      <c r="AB682" t="n">
        <v>3</v>
      </c>
      <c r="AC682" t="n">
        <v>3</v>
      </c>
      <c r="AD682" t="n">
        <v>14</v>
      </c>
      <c r="AE682" t="n">
        <v>15</v>
      </c>
      <c r="AF682" t="n">
        <v>4</v>
      </c>
      <c r="AG682" t="n">
        <v>4</v>
      </c>
      <c r="AH682" t="n">
        <v>3</v>
      </c>
      <c r="AI682" t="n">
        <v>3</v>
      </c>
      <c r="AJ682" t="n">
        <v>7</v>
      </c>
      <c r="AK682" t="n">
        <v>8</v>
      </c>
      <c r="AL682" t="n">
        <v>2</v>
      </c>
      <c r="AM682" t="n">
        <v>2</v>
      </c>
      <c r="AN682" t="n">
        <v>0</v>
      </c>
      <c r="AO682" t="n">
        <v>0</v>
      </c>
      <c r="AP682" t="inlineStr">
        <is>
          <t>No</t>
        </is>
      </c>
      <c r="AQ682" t="inlineStr">
        <is>
          <t>No</t>
        </is>
      </c>
      <c r="AS682">
        <f>HYPERLINK("https://creighton-primo.hosted.exlibrisgroup.com/primo-explore/search?tab=default_tab&amp;search_scope=EVERYTHING&amp;vid=01CRU&amp;lang=en_US&amp;offset=0&amp;query=any,contains,991000543149702656","Catalog Record")</f>
        <v/>
      </c>
      <c r="AT682">
        <f>HYPERLINK("http://www.worldcat.org/oclc/90963","WorldCat Record")</f>
        <v/>
      </c>
      <c r="AU682" t="inlineStr">
        <is>
          <t>1300096:eng</t>
        </is>
      </c>
      <c r="AV682" t="inlineStr">
        <is>
          <t>90963</t>
        </is>
      </c>
      <c r="AW682" t="inlineStr">
        <is>
          <t>991000543149702656</t>
        </is>
      </c>
      <c r="AX682" t="inlineStr">
        <is>
          <t>991000543149702656</t>
        </is>
      </c>
      <c r="AY682" t="inlineStr">
        <is>
          <t>2266340740002656</t>
        </is>
      </c>
      <c r="AZ682" t="inlineStr">
        <is>
          <t>BOOK</t>
        </is>
      </c>
      <c r="BB682" t="inlineStr">
        <is>
          <t>9780471425960</t>
        </is>
      </c>
      <c r="BC682" t="inlineStr">
        <is>
          <t>32285002794021</t>
        </is>
      </c>
      <c r="BD682" t="inlineStr">
        <is>
          <t>893438355</t>
        </is>
      </c>
    </row>
    <row r="683">
      <c r="A683" t="inlineStr">
        <is>
          <t>No</t>
        </is>
      </c>
      <c r="B683" t="inlineStr">
        <is>
          <t>QD26 .A57 1983</t>
        </is>
      </c>
      <c r="C683" t="inlineStr">
        <is>
          <t>0                      QD 0026000A  57          1983</t>
        </is>
      </c>
      <c r="D683" t="inlineStr">
        <is>
          <t>The Alchemical tradition in the late twentieth century / edited by Richard Grossinger.</t>
        </is>
      </c>
      <c r="F683" t="inlineStr">
        <is>
          <t>No</t>
        </is>
      </c>
      <c r="G683" t="inlineStr">
        <is>
          <t>1</t>
        </is>
      </c>
      <c r="H683" t="inlineStr">
        <is>
          <t>No</t>
        </is>
      </c>
      <c r="I683" t="inlineStr">
        <is>
          <t>No</t>
        </is>
      </c>
      <c r="J683" t="inlineStr">
        <is>
          <t>0</t>
        </is>
      </c>
      <c r="L683" t="inlineStr">
        <is>
          <t>Berkeley, Calif. : North Atlantic Books, c1983.</t>
        </is>
      </c>
      <c r="M683" t="inlineStr">
        <is>
          <t>1983</t>
        </is>
      </c>
      <c r="O683" t="inlineStr">
        <is>
          <t>eng</t>
        </is>
      </c>
      <c r="P683" t="inlineStr">
        <is>
          <t>cau</t>
        </is>
      </c>
      <c r="Q683" t="inlineStr">
        <is>
          <t>Io ; 31</t>
        </is>
      </c>
      <c r="R683" t="inlineStr">
        <is>
          <t xml:space="preserve">QD </t>
        </is>
      </c>
      <c r="S683" t="n">
        <v>5</v>
      </c>
      <c r="T683" t="n">
        <v>5</v>
      </c>
      <c r="U683" t="inlineStr">
        <is>
          <t>2007-07-22</t>
        </is>
      </c>
      <c r="V683" t="inlineStr">
        <is>
          <t>2007-07-22</t>
        </is>
      </c>
      <c r="W683" t="inlineStr">
        <is>
          <t>1993-01-14</t>
        </is>
      </c>
      <c r="X683" t="inlineStr">
        <is>
          <t>1993-01-14</t>
        </is>
      </c>
      <c r="Y683" t="n">
        <v>114</v>
      </c>
      <c r="Z683" t="n">
        <v>101</v>
      </c>
      <c r="AA683" t="n">
        <v>112</v>
      </c>
      <c r="AB683" t="n">
        <v>2</v>
      </c>
      <c r="AC683" t="n">
        <v>2</v>
      </c>
      <c r="AD683" t="n">
        <v>2</v>
      </c>
      <c r="AE683" t="n">
        <v>2</v>
      </c>
      <c r="AF683" t="n">
        <v>0</v>
      </c>
      <c r="AG683" t="n">
        <v>0</v>
      </c>
      <c r="AH683" t="n">
        <v>1</v>
      </c>
      <c r="AI683" t="n">
        <v>1</v>
      </c>
      <c r="AJ683" t="n">
        <v>0</v>
      </c>
      <c r="AK683" t="n">
        <v>0</v>
      </c>
      <c r="AL683" t="n">
        <v>1</v>
      </c>
      <c r="AM683" t="n">
        <v>1</v>
      </c>
      <c r="AN683" t="n">
        <v>0</v>
      </c>
      <c r="AO683" t="n">
        <v>0</v>
      </c>
      <c r="AP683" t="inlineStr">
        <is>
          <t>No</t>
        </is>
      </c>
      <c r="AQ683" t="inlineStr">
        <is>
          <t>No</t>
        </is>
      </c>
      <c r="AS683">
        <f>HYPERLINK("https://creighton-primo.hosted.exlibrisgroup.com/primo-explore/search?tab=default_tab&amp;search_scope=EVERYTHING&amp;vid=01CRU&amp;lang=en_US&amp;offset=0&amp;query=any,contains,991000113369702656","Catalog Record")</f>
        <v/>
      </c>
      <c r="AT683">
        <f>HYPERLINK("http://www.worldcat.org/oclc/9018785","WorldCat Record")</f>
        <v/>
      </c>
      <c r="AU683" t="inlineStr">
        <is>
          <t>54543395:eng</t>
        </is>
      </c>
      <c r="AV683" t="inlineStr">
        <is>
          <t>9018785</t>
        </is>
      </c>
      <c r="AW683" t="inlineStr">
        <is>
          <t>991000113369702656</t>
        </is>
      </c>
      <c r="AX683" t="inlineStr">
        <is>
          <t>991000113369702656</t>
        </is>
      </c>
      <c r="AY683" t="inlineStr">
        <is>
          <t>2258752170002656</t>
        </is>
      </c>
      <c r="AZ683" t="inlineStr">
        <is>
          <t>BOOK</t>
        </is>
      </c>
      <c r="BB683" t="inlineStr">
        <is>
          <t>9780938190110</t>
        </is>
      </c>
      <c r="BC683" t="inlineStr">
        <is>
          <t>32285001399541</t>
        </is>
      </c>
      <c r="BD683" t="inlineStr">
        <is>
          <t>893601464</t>
        </is>
      </c>
    </row>
    <row r="684">
      <c r="A684" t="inlineStr">
        <is>
          <t>No</t>
        </is>
      </c>
      <c r="B684" t="inlineStr">
        <is>
          <t>QD261 .A94 1998</t>
        </is>
      </c>
      <c r="C684" t="inlineStr">
        <is>
          <t>0                      QD 0261000A  94          1998</t>
        </is>
      </c>
      <c r="D684" t="inlineStr">
        <is>
          <t>Techniques and experiments for organic chemistry / Addison Ault.</t>
        </is>
      </c>
      <c r="F684" t="inlineStr">
        <is>
          <t>No</t>
        </is>
      </c>
      <c r="G684" t="inlineStr">
        <is>
          <t>1</t>
        </is>
      </c>
      <c r="H684" t="inlineStr">
        <is>
          <t>No</t>
        </is>
      </c>
      <c r="I684" t="inlineStr">
        <is>
          <t>No</t>
        </is>
      </c>
      <c r="J684" t="inlineStr">
        <is>
          <t>0</t>
        </is>
      </c>
      <c r="K684" t="inlineStr">
        <is>
          <t>Ault, Addison.</t>
        </is>
      </c>
      <c r="L684" t="inlineStr">
        <is>
          <t>Sausalito, Calif. : University Science Books, c1998.</t>
        </is>
      </c>
      <c r="M684" t="inlineStr">
        <is>
          <t>1998</t>
        </is>
      </c>
      <c r="N684" t="inlineStr">
        <is>
          <t>6th ed.</t>
        </is>
      </c>
      <c r="O684" t="inlineStr">
        <is>
          <t>eng</t>
        </is>
      </c>
      <c r="P684" t="inlineStr">
        <is>
          <t>cau</t>
        </is>
      </c>
      <c r="R684" t="inlineStr">
        <is>
          <t xml:space="preserve">QD </t>
        </is>
      </c>
      <c r="S684" t="n">
        <v>2</v>
      </c>
      <c r="T684" t="n">
        <v>2</v>
      </c>
      <c r="U684" t="inlineStr">
        <is>
          <t>2005-07-14</t>
        </is>
      </c>
      <c r="V684" t="inlineStr">
        <is>
          <t>2005-07-14</t>
        </is>
      </c>
      <c r="W684" t="inlineStr">
        <is>
          <t>2005-07-14</t>
        </is>
      </c>
      <c r="X684" t="inlineStr">
        <is>
          <t>2005-07-14</t>
        </is>
      </c>
      <c r="Y684" t="n">
        <v>152</v>
      </c>
      <c r="Z684" t="n">
        <v>88</v>
      </c>
      <c r="AA684" t="n">
        <v>255</v>
      </c>
      <c r="AB684" t="n">
        <v>2</v>
      </c>
      <c r="AC684" t="n">
        <v>3</v>
      </c>
      <c r="AD684" t="n">
        <v>4</v>
      </c>
      <c r="AE684" t="n">
        <v>6</v>
      </c>
      <c r="AF684" t="n">
        <v>1</v>
      </c>
      <c r="AG684" t="n">
        <v>2</v>
      </c>
      <c r="AH684" t="n">
        <v>0</v>
      </c>
      <c r="AI684" t="n">
        <v>1</v>
      </c>
      <c r="AJ684" t="n">
        <v>3</v>
      </c>
      <c r="AK684" t="n">
        <v>3</v>
      </c>
      <c r="AL684" t="n">
        <v>1</v>
      </c>
      <c r="AM684" t="n">
        <v>1</v>
      </c>
      <c r="AN684" t="n">
        <v>0</v>
      </c>
      <c r="AO684" t="n">
        <v>0</v>
      </c>
      <c r="AP684" t="inlineStr">
        <is>
          <t>No</t>
        </is>
      </c>
      <c r="AQ684" t="inlineStr">
        <is>
          <t>No</t>
        </is>
      </c>
      <c r="AS684">
        <f>HYPERLINK("https://creighton-primo.hosted.exlibrisgroup.com/primo-explore/search?tab=default_tab&amp;search_scope=EVERYTHING&amp;vid=01CRU&amp;lang=en_US&amp;offset=0&amp;query=any,contains,991004535509702656","Catalog Record")</f>
        <v/>
      </c>
      <c r="AT684">
        <f>HYPERLINK("http://www.worldcat.org/oclc/36386533","WorldCat Record")</f>
        <v/>
      </c>
      <c r="AU684" t="inlineStr">
        <is>
          <t>657566:eng</t>
        </is>
      </c>
      <c r="AV684" t="inlineStr">
        <is>
          <t>36386533</t>
        </is>
      </c>
      <c r="AW684" t="inlineStr">
        <is>
          <t>991004535509702656</t>
        </is>
      </c>
      <c r="AX684" t="inlineStr">
        <is>
          <t>991004535509702656</t>
        </is>
      </c>
      <c r="AY684" t="inlineStr">
        <is>
          <t>2256159370002656</t>
        </is>
      </c>
      <c r="AZ684" t="inlineStr">
        <is>
          <t>BOOK</t>
        </is>
      </c>
      <c r="BB684" t="inlineStr">
        <is>
          <t>9780935702767</t>
        </is>
      </c>
      <c r="BC684" t="inlineStr">
        <is>
          <t>32285005096465</t>
        </is>
      </c>
      <c r="BD684" t="inlineStr">
        <is>
          <t>893442726</t>
        </is>
      </c>
    </row>
    <row r="685">
      <c r="A685" t="inlineStr">
        <is>
          <t>No</t>
        </is>
      </c>
      <c r="B685" t="inlineStr">
        <is>
          <t>QD261 .L63 1990</t>
        </is>
      </c>
      <c r="C685" t="inlineStr">
        <is>
          <t>0                      QD 0261000L  63          1990</t>
        </is>
      </c>
      <c r="D685" t="inlineStr">
        <is>
          <t>A guide for the perplexed organic experimentalist / H.J.E. Loewenthal with a contribution from E. Zass.</t>
        </is>
      </c>
      <c r="F685" t="inlineStr">
        <is>
          <t>No</t>
        </is>
      </c>
      <c r="G685" t="inlineStr">
        <is>
          <t>1</t>
        </is>
      </c>
      <c r="H685" t="inlineStr">
        <is>
          <t>No</t>
        </is>
      </c>
      <c r="I685" t="inlineStr">
        <is>
          <t>No</t>
        </is>
      </c>
      <c r="J685" t="inlineStr">
        <is>
          <t>0</t>
        </is>
      </c>
      <c r="K685" t="inlineStr">
        <is>
          <t>Loewenthal, H. J. E.</t>
        </is>
      </c>
      <c r="L685" t="inlineStr">
        <is>
          <t>Chichester ; New York : Wiley ; Aarau : Salle + Sauerländer, c1990.</t>
        </is>
      </c>
      <c r="M685" t="inlineStr">
        <is>
          <t>1990</t>
        </is>
      </c>
      <c r="N685" t="inlineStr">
        <is>
          <t>2nd ed.</t>
        </is>
      </c>
      <c r="O685" t="inlineStr">
        <is>
          <t>eng</t>
        </is>
      </c>
      <c r="P685" t="inlineStr">
        <is>
          <t>enk</t>
        </is>
      </c>
      <c r="R685" t="inlineStr">
        <is>
          <t xml:space="preserve">QD </t>
        </is>
      </c>
      <c r="S685" t="n">
        <v>8</v>
      </c>
      <c r="T685" t="n">
        <v>8</v>
      </c>
      <c r="U685" t="inlineStr">
        <is>
          <t>2005-01-18</t>
        </is>
      </c>
      <c r="V685" t="inlineStr">
        <is>
          <t>2005-01-18</t>
        </is>
      </c>
      <c r="W685" t="inlineStr">
        <is>
          <t>1992-06-16</t>
        </is>
      </c>
      <c r="X685" t="inlineStr">
        <is>
          <t>1992-06-16</t>
        </is>
      </c>
      <c r="Y685" t="n">
        <v>333</v>
      </c>
      <c r="Z685" t="n">
        <v>211</v>
      </c>
      <c r="AA685" t="n">
        <v>499</v>
      </c>
      <c r="AB685" t="n">
        <v>3</v>
      </c>
      <c r="AC685" t="n">
        <v>5</v>
      </c>
      <c r="AD685" t="n">
        <v>7</v>
      </c>
      <c r="AE685" t="n">
        <v>24</v>
      </c>
      <c r="AF685" t="n">
        <v>3</v>
      </c>
      <c r="AG685" t="n">
        <v>9</v>
      </c>
      <c r="AH685" t="n">
        <v>1</v>
      </c>
      <c r="AI685" t="n">
        <v>3</v>
      </c>
      <c r="AJ685" t="n">
        <v>5</v>
      </c>
      <c r="AK685" t="n">
        <v>13</v>
      </c>
      <c r="AL685" t="n">
        <v>2</v>
      </c>
      <c r="AM685" t="n">
        <v>4</v>
      </c>
      <c r="AN685" t="n">
        <v>0</v>
      </c>
      <c r="AO685" t="n">
        <v>0</v>
      </c>
      <c r="AP685" t="inlineStr">
        <is>
          <t>No</t>
        </is>
      </c>
      <c r="AQ685" t="inlineStr">
        <is>
          <t>Yes</t>
        </is>
      </c>
      <c r="AR685">
        <f>HYPERLINK("http://catalog.hathitrust.org/Record/002214551","HathiTrust Record")</f>
        <v/>
      </c>
      <c r="AS685">
        <f>HYPERLINK("https://creighton-primo.hosted.exlibrisgroup.com/primo-explore/search?tab=default_tab&amp;search_scope=EVERYTHING&amp;vid=01CRU&amp;lang=en_US&amp;offset=0&amp;query=any,contains,991001622059702656","Catalog Record")</f>
        <v/>
      </c>
      <c r="AT685">
        <f>HYPERLINK("http://www.worldcat.org/oclc/20825783","WorldCat Record")</f>
        <v/>
      </c>
      <c r="AU685" t="inlineStr">
        <is>
          <t>14660370:eng</t>
        </is>
      </c>
      <c r="AV685" t="inlineStr">
        <is>
          <t>20825783</t>
        </is>
      </c>
      <c r="AW685" t="inlineStr">
        <is>
          <t>991001622059702656</t>
        </is>
      </c>
      <c r="AX685" t="inlineStr">
        <is>
          <t>991001622059702656</t>
        </is>
      </c>
      <c r="AY685" t="inlineStr">
        <is>
          <t>2260512290002656</t>
        </is>
      </c>
      <c r="AZ685" t="inlineStr">
        <is>
          <t>BOOK</t>
        </is>
      </c>
      <c r="BB685" t="inlineStr">
        <is>
          <t>9780471923497</t>
        </is>
      </c>
      <c r="BC685" t="inlineStr">
        <is>
          <t>32285001129211</t>
        </is>
      </c>
      <c r="BD685" t="inlineStr">
        <is>
          <t>893522685</t>
        </is>
      </c>
    </row>
    <row r="686">
      <c r="A686" t="inlineStr">
        <is>
          <t>No</t>
        </is>
      </c>
      <c r="B686" t="inlineStr">
        <is>
          <t>QD261 .P34 1992</t>
        </is>
      </c>
      <c r="C686" t="inlineStr">
        <is>
          <t>0                      QD 0261000P  34          1992</t>
        </is>
      </c>
      <c r="D686" t="inlineStr">
        <is>
          <t>Experiments and techniques in organic chemistry / Daniel J. Pasto, Carl R. Johnson, [and] Marvin J. Miller.</t>
        </is>
      </c>
      <c r="F686" t="inlineStr">
        <is>
          <t>No</t>
        </is>
      </c>
      <c r="G686" t="inlineStr">
        <is>
          <t>1</t>
        </is>
      </c>
      <c r="H686" t="inlineStr">
        <is>
          <t>No</t>
        </is>
      </c>
      <c r="I686" t="inlineStr">
        <is>
          <t>No</t>
        </is>
      </c>
      <c r="J686" t="inlineStr">
        <is>
          <t>0</t>
        </is>
      </c>
      <c r="K686" t="inlineStr">
        <is>
          <t>Pasto, Daniel J., 1936-</t>
        </is>
      </c>
      <c r="L686" t="inlineStr">
        <is>
          <t>Englewood Cliffs, N.J. : Prentice-Hall, c1992.</t>
        </is>
      </c>
      <c r="M686" t="inlineStr">
        <is>
          <t>1992</t>
        </is>
      </c>
      <c r="O686" t="inlineStr">
        <is>
          <t>eng</t>
        </is>
      </c>
      <c r="P686" t="inlineStr">
        <is>
          <t>nju</t>
        </is>
      </c>
      <c r="R686" t="inlineStr">
        <is>
          <t xml:space="preserve">QD </t>
        </is>
      </c>
      <c r="S686" t="n">
        <v>19</v>
      </c>
      <c r="T686" t="n">
        <v>19</v>
      </c>
      <c r="U686" t="inlineStr">
        <is>
          <t>2008-04-12</t>
        </is>
      </c>
      <c r="V686" t="inlineStr">
        <is>
          <t>2008-04-12</t>
        </is>
      </c>
      <c r="W686" t="inlineStr">
        <is>
          <t>1991-12-15</t>
        </is>
      </c>
      <c r="X686" t="inlineStr">
        <is>
          <t>1991-12-15</t>
        </is>
      </c>
      <c r="Y686" t="n">
        <v>140</v>
      </c>
      <c r="Z686" t="n">
        <v>78</v>
      </c>
      <c r="AA686" t="n">
        <v>80</v>
      </c>
      <c r="AB686" t="n">
        <v>1</v>
      </c>
      <c r="AC686" t="n">
        <v>1</v>
      </c>
      <c r="AD686" t="n">
        <v>1</v>
      </c>
      <c r="AE686" t="n">
        <v>1</v>
      </c>
      <c r="AF686" t="n">
        <v>1</v>
      </c>
      <c r="AG686" t="n">
        <v>1</v>
      </c>
      <c r="AH686" t="n">
        <v>0</v>
      </c>
      <c r="AI686" t="n">
        <v>0</v>
      </c>
      <c r="AJ686" t="n">
        <v>1</v>
      </c>
      <c r="AK686" t="n">
        <v>1</v>
      </c>
      <c r="AL686" t="n">
        <v>0</v>
      </c>
      <c r="AM686" t="n">
        <v>0</v>
      </c>
      <c r="AN686" t="n">
        <v>0</v>
      </c>
      <c r="AO686" t="n">
        <v>0</v>
      </c>
      <c r="AP686" t="inlineStr">
        <is>
          <t>No</t>
        </is>
      </c>
      <c r="AQ686" t="inlineStr">
        <is>
          <t>Yes</t>
        </is>
      </c>
      <c r="AR686">
        <f>HYPERLINK("http://catalog.hathitrust.org/Record/009464845","HathiTrust Record")</f>
        <v/>
      </c>
      <c r="AS686">
        <f>HYPERLINK("https://creighton-primo.hosted.exlibrisgroup.com/primo-explore/search?tab=default_tab&amp;search_scope=EVERYTHING&amp;vid=01CRU&amp;lang=en_US&amp;offset=0&amp;query=any,contains,991001941039702656","Catalog Record")</f>
        <v/>
      </c>
      <c r="AT686">
        <f>HYPERLINK("http://www.worldcat.org/oclc/26894806","WorldCat Record")</f>
        <v/>
      </c>
      <c r="AU686" t="inlineStr">
        <is>
          <t>26698138:eng</t>
        </is>
      </c>
      <c r="AV686" t="inlineStr">
        <is>
          <t>26894806</t>
        </is>
      </c>
      <c r="AW686" t="inlineStr">
        <is>
          <t>991001941039702656</t>
        </is>
      </c>
      <c r="AX686" t="inlineStr">
        <is>
          <t>991001941039702656</t>
        </is>
      </c>
      <c r="AY686" t="inlineStr">
        <is>
          <t>2268960540002656</t>
        </is>
      </c>
      <c r="AZ686" t="inlineStr">
        <is>
          <t>BOOK</t>
        </is>
      </c>
      <c r="BB686" t="inlineStr">
        <is>
          <t>9780132988605</t>
        </is>
      </c>
      <c r="BC686" t="inlineStr">
        <is>
          <t>32285000819879</t>
        </is>
      </c>
      <c r="BD686" t="inlineStr">
        <is>
          <t>893703481</t>
        </is>
      </c>
    </row>
    <row r="687">
      <c r="A687" t="inlineStr">
        <is>
          <t>No</t>
        </is>
      </c>
      <c r="B687" t="inlineStr">
        <is>
          <t>QD261 .S965 2004</t>
        </is>
      </c>
      <c r="C687" t="inlineStr">
        <is>
          <t>0                      QD 0261000S  965         2004</t>
        </is>
      </c>
      <c r="D687" t="inlineStr">
        <is>
          <t>The systematic identification of organic compounds / Ralph L. Shriner ... [et al.].</t>
        </is>
      </c>
      <c r="F687" t="inlineStr">
        <is>
          <t>No</t>
        </is>
      </c>
      <c r="G687" t="inlineStr">
        <is>
          <t>1</t>
        </is>
      </c>
      <c r="H687" t="inlineStr">
        <is>
          <t>No</t>
        </is>
      </c>
      <c r="I687" t="inlineStr">
        <is>
          <t>No</t>
        </is>
      </c>
      <c r="J687" t="inlineStr">
        <is>
          <t>0</t>
        </is>
      </c>
      <c r="L687" t="inlineStr">
        <is>
          <t>Hoboken, NJ : Wiley, c2004.</t>
        </is>
      </c>
      <c r="M687" t="inlineStr">
        <is>
          <t>2004</t>
        </is>
      </c>
      <c r="N687" t="inlineStr">
        <is>
          <t>8th ed.</t>
        </is>
      </c>
      <c r="O687" t="inlineStr">
        <is>
          <t>eng</t>
        </is>
      </c>
      <c r="P687" t="inlineStr">
        <is>
          <t>nju</t>
        </is>
      </c>
      <c r="R687" t="inlineStr">
        <is>
          <t xml:space="preserve">QD </t>
        </is>
      </c>
      <c r="S687" t="n">
        <v>2</v>
      </c>
      <c r="T687" t="n">
        <v>2</v>
      </c>
      <c r="U687" t="inlineStr">
        <is>
          <t>2004-03-02</t>
        </is>
      </c>
      <c r="V687" t="inlineStr">
        <is>
          <t>2004-03-02</t>
        </is>
      </c>
      <c r="W687" t="inlineStr">
        <is>
          <t>2004-03-02</t>
        </is>
      </c>
      <c r="X687" t="inlineStr">
        <is>
          <t>2004-03-02</t>
        </is>
      </c>
      <c r="Y687" t="n">
        <v>351</v>
      </c>
      <c r="Z687" t="n">
        <v>232</v>
      </c>
      <c r="AA687" t="n">
        <v>1308</v>
      </c>
      <c r="AB687" t="n">
        <v>1</v>
      </c>
      <c r="AC687" t="n">
        <v>9</v>
      </c>
      <c r="AD687" t="n">
        <v>11</v>
      </c>
      <c r="AE687" t="n">
        <v>44</v>
      </c>
      <c r="AF687" t="n">
        <v>5</v>
      </c>
      <c r="AG687" t="n">
        <v>18</v>
      </c>
      <c r="AH687" t="n">
        <v>4</v>
      </c>
      <c r="AI687" t="n">
        <v>8</v>
      </c>
      <c r="AJ687" t="n">
        <v>6</v>
      </c>
      <c r="AK687" t="n">
        <v>19</v>
      </c>
      <c r="AL687" t="n">
        <v>0</v>
      </c>
      <c r="AM687" t="n">
        <v>8</v>
      </c>
      <c r="AN687" t="n">
        <v>0</v>
      </c>
      <c r="AO687" t="n">
        <v>0</v>
      </c>
      <c r="AP687" t="inlineStr">
        <is>
          <t>No</t>
        </is>
      </c>
      <c r="AQ687" t="inlineStr">
        <is>
          <t>No</t>
        </is>
      </c>
      <c r="AS687">
        <f>HYPERLINK("https://creighton-primo.hosted.exlibrisgroup.com/primo-explore/search?tab=default_tab&amp;search_scope=EVERYTHING&amp;vid=01CRU&amp;lang=en_US&amp;offset=0&amp;query=any,contains,991004243129702656","Catalog Record")</f>
        <v/>
      </c>
      <c r="AT687">
        <f>HYPERLINK("http://www.worldcat.org/oclc/51886382","WorldCat Record")</f>
        <v/>
      </c>
      <c r="AU687" t="inlineStr">
        <is>
          <t>197896955:eng</t>
        </is>
      </c>
      <c r="AV687" t="inlineStr">
        <is>
          <t>51886382</t>
        </is>
      </c>
      <c r="AW687" t="inlineStr">
        <is>
          <t>991004243129702656</t>
        </is>
      </c>
      <c r="AX687" t="inlineStr">
        <is>
          <t>991004243129702656</t>
        </is>
      </c>
      <c r="AY687" t="inlineStr">
        <is>
          <t>2255203910002656</t>
        </is>
      </c>
      <c r="AZ687" t="inlineStr">
        <is>
          <t>BOOK</t>
        </is>
      </c>
      <c r="BB687" t="inlineStr">
        <is>
          <t>9780471215035</t>
        </is>
      </c>
      <c r="BC687" t="inlineStr">
        <is>
          <t>32285004891916</t>
        </is>
      </c>
      <c r="BD687" t="inlineStr">
        <is>
          <t>893718676</t>
        </is>
      </c>
    </row>
    <row r="688">
      <c r="A688" t="inlineStr">
        <is>
          <t>No</t>
        </is>
      </c>
      <c r="B688" t="inlineStr">
        <is>
          <t>QD261 .V63 1978</t>
        </is>
      </c>
      <c r="C688" t="inlineStr">
        <is>
          <t>0                      QD 0261000V  63          1978</t>
        </is>
      </c>
      <c r="D688" t="inlineStr">
        <is>
          <t>Vogel's Textbook of practical organic chemistry, including qualitative organic analysis.</t>
        </is>
      </c>
      <c r="F688" t="inlineStr">
        <is>
          <t>No</t>
        </is>
      </c>
      <c r="G688" t="inlineStr">
        <is>
          <t>1</t>
        </is>
      </c>
      <c r="H688" t="inlineStr">
        <is>
          <t>No</t>
        </is>
      </c>
      <c r="I688" t="inlineStr">
        <is>
          <t>No</t>
        </is>
      </c>
      <c r="J688" t="inlineStr">
        <is>
          <t>0</t>
        </is>
      </c>
      <c r="K688" t="inlineStr">
        <is>
          <t>Vogel, Arthur I. (Arthur Israel)</t>
        </is>
      </c>
      <c r="L688" t="inlineStr">
        <is>
          <t>London ; New York : Longman, 1978.</t>
        </is>
      </c>
      <c r="M688" t="inlineStr">
        <is>
          <t>1978</t>
        </is>
      </c>
      <c r="N688" t="inlineStr">
        <is>
          <t>4th ed. / rev. by the following members of the School of Chemistry, Thames (formerly Woolwich) Polytechnic, B. S. Furniss ... [et al.].</t>
        </is>
      </c>
      <c r="O688" t="inlineStr">
        <is>
          <t>eng</t>
        </is>
      </c>
      <c r="P688" t="inlineStr">
        <is>
          <t>enk</t>
        </is>
      </c>
      <c r="R688" t="inlineStr">
        <is>
          <t xml:space="preserve">QD </t>
        </is>
      </c>
      <c r="S688" t="n">
        <v>14</v>
      </c>
      <c r="T688" t="n">
        <v>14</v>
      </c>
      <c r="U688" t="inlineStr">
        <is>
          <t>2005-02-16</t>
        </is>
      </c>
      <c r="V688" t="inlineStr">
        <is>
          <t>2005-02-16</t>
        </is>
      </c>
      <c r="W688" t="inlineStr">
        <is>
          <t>1992-03-17</t>
        </is>
      </c>
      <c r="X688" t="inlineStr">
        <is>
          <t>1992-03-17</t>
        </is>
      </c>
      <c r="Y688" t="n">
        <v>531</v>
      </c>
      <c r="Z688" t="n">
        <v>349</v>
      </c>
      <c r="AA688" t="n">
        <v>642</v>
      </c>
      <c r="AB688" t="n">
        <v>3</v>
      </c>
      <c r="AC688" t="n">
        <v>8</v>
      </c>
      <c r="AD688" t="n">
        <v>11</v>
      </c>
      <c r="AE688" t="n">
        <v>25</v>
      </c>
      <c r="AF688" t="n">
        <v>3</v>
      </c>
      <c r="AG688" t="n">
        <v>6</v>
      </c>
      <c r="AH688" t="n">
        <v>3</v>
      </c>
      <c r="AI688" t="n">
        <v>4</v>
      </c>
      <c r="AJ688" t="n">
        <v>5</v>
      </c>
      <c r="AK688" t="n">
        <v>13</v>
      </c>
      <c r="AL688" t="n">
        <v>2</v>
      </c>
      <c r="AM688" t="n">
        <v>6</v>
      </c>
      <c r="AN688" t="n">
        <v>0</v>
      </c>
      <c r="AO688" t="n">
        <v>0</v>
      </c>
      <c r="AP688" t="inlineStr">
        <is>
          <t>No</t>
        </is>
      </c>
      <c r="AQ688" t="inlineStr">
        <is>
          <t>Yes</t>
        </is>
      </c>
      <c r="AR688">
        <f>HYPERLINK("http://catalog.hathitrust.org/Record/004446704","HathiTrust Record")</f>
        <v/>
      </c>
      <c r="AS688">
        <f>HYPERLINK("https://creighton-primo.hosted.exlibrisgroup.com/primo-explore/search?tab=default_tab&amp;search_scope=EVERYTHING&amp;vid=01CRU&amp;lang=en_US&amp;offset=0&amp;query=any,contains,991004684449702656","Catalog Record")</f>
        <v/>
      </c>
      <c r="AT688">
        <f>HYPERLINK("http://www.worldcat.org/oclc/3016740","WorldCat Record")</f>
        <v/>
      </c>
      <c r="AU688" t="inlineStr">
        <is>
          <t>4915275586:eng</t>
        </is>
      </c>
      <c r="AV688" t="inlineStr">
        <is>
          <t>3016740</t>
        </is>
      </c>
      <c r="AW688" t="inlineStr">
        <is>
          <t>991004684449702656</t>
        </is>
      </c>
      <c r="AX688" t="inlineStr">
        <is>
          <t>991004684449702656</t>
        </is>
      </c>
      <c r="AY688" t="inlineStr">
        <is>
          <t>2258530690002656</t>
        </is>
      </c>
      <c r="AZ688" t="inlineStr">
        <is>
          <t>BOOK</t>
        </is>
      </c>
      <c r="BB688" t="inlineStr">
        <is>
          <t>9780582442504</t>
        </is>
      </c>
      <c r="BC688" t="inlineStr">
        <is>
          <t>32285001022580</t>
        </is>
      </c>
      <c r="BD688" t="inlineStr">
        <is>
          <t>893446334</t>
        </is>
      </c>
    </row>
    <row r="689">
      <c r="A689" t="inlineStr">
        <is>
          <t>No</t>
        </is>
      </c>
      <c r="B689" t="inlineStr">
        <is>
          <t>QD261 .Z83 2008</t>
        </is>
      </c>
      <c r="C689" t="inlineStr">
        <is>
          <t>0                      QD 0261000Z  83          2008</t>
        </is>
      </c>
      <c r="D689" t="inlineStr">
        <is>
          <t>The organic chem lab survival manual : a student's guide to techniques / James W. Zubrick.</t>
        </is>
      </c>
      <c r="F689" t="inlineStr">
        <is>
          <t>No</t>
        </is>
      </c>
      <c r="G689" t="inlineStr">
        <is>
          <t>1</t>
        </is>
      </c>
      <c r="H689" t="inlineStr">
        <is>
          <t>No</t>
        </is>
      </c>
      <c r="I689" t="inlineStr">
        <is>
          <t>No</t>
        </is>
      </c>
      <c r="J689" t="inlineStr">
        <is>
          <t>0</t>
        </is>
      </c>
      <c r="K689" t="inlineStr">
        <is>
          <t>Zubrick, James W.</t>
        </is>
      </c>
      <c r="L689" t="inlineStr">
        <is>
          <t>Hoboken, N.J. : John Wiley, c2008.</t>
        </is>
      </c>
      <c r="M689" t="inlineStr">
        <is>
          <t>2008</t>
        </is>
      </c>
      <c r="N689" t="inlineStr">
        <is>
          <t>7th ed.</t>
        </is>
      </c>
      <c r="O689" t="inlineStr">
        <is>
          <t>eng</t>
        </is>
      </c>
      <c r="P689" t="inlineStr">
        <is>
          <t>nju</t>
        </is>
      </c>
      <c r="R689" t="inlineStr">
        <is>
          <t xml:space="preserve">QD </t>
        </is>
      </c>
      <c r="S689" t="n">
        <v>1</v>
      </c>
      <c r="T689" t="n">
        <v>1</v>
      </c>
      <c r="U689" t="inlineStr">
        <is>
          <t>2008-07-28</t>
        </is>
      </c>
      <c r="V689" t="inlineStr">
        <is>
          <t>2008-07-28</t>
        </is>
      </c>
      <c r="W689" t="inlineStr">
        <is>
          <t>2008-07-28</t>
        </is>
      </c>
      <c r="X689" t="inlineStr">
        <is>
          <t>2008-07-28</t>
        </is>
      </c>
      <c r="Y689" t="n">
        <v>184</v>
      </c>
      <c r="Z689" t="n">
        <v>116</v>
      </c>
      <c r="AA689" t="n">
        <v>846</v>
      </c>
      <c r="AB689" t="n">
        <v>1</v>
      </c>
      <c r="AC689" t="n">
        <v>4</v>
      </c>
      <c r="AD689" t="n">
        <v>2</v>
      </c>
      <c r="AE689" t="n">
        <v>22</v>
      </c>
      <c r="AF689" t="n">
        <v>0</v>
      </c>
      <c r="AG689" t="n">
        <v>7</v>
      </c>
      <c r="AH689" t="n">
        <v>0</v>
      </c>
      <c r="AI689" t="n">
        <v>4</v>
      </c>
      <c r="AJ689" t="n">
        <v>2</v>
      </c>
      <c r="AK689" t="n">
        <v>11</v>
      </c>
      <c r="AL689" t="n">
        <v>0</v>
      </c>
      <c r="AM689" t="n">
        <v>3</v>
      </c>
      <c r="AN689" t="n">
        <v>0</v>
      </c>
      <c r="AO689" t="n">
        <v>0</v>
      </c>
      <c r="AP689" t="inlineStr">
        <is>
          <t>No</t>
        </is>
      </c>
      <c r="AQ689" t="inlineStr">
        <is>
          <t>Yes</t>
        </is>
      </c>
      <c r="AR689">
        <f>HYPERLINK("http://catalog.hathitrust.org/Record/009464857","HathiTrust Record")</f>
        <v/>
      </c>
      <c r="AS689">
        <f>HYPERLINK("https://creighton-primo.hosted.exlibrisgroup.com/primo-explore/search?tab=default_tab&amp;search_scope=EVERYTHING&amp;vid=01CRU&amp;lang=en_US&amp;offset=0&amp;query=any,contains,991005100549702656","Catalog Record")</f>
        <v/>
      </c>
      <c r="AT689">
        <f>HYPERLINK("http://www.worldcat.org/oclc/86090483","WorldCat Record")</f>
        <v/>
      </c>
      <c r="AU689" t="inlineStr">
        <is>
          <t>793668178:eng</t>
        </is>
      </c>
      <c r="AV689" t="inlineStr">
        <is>
          <t>86090483</t>
        </is>
      </c>
      <c r="AW689" t="inlineStr">
        <is>
          <t>991005100549702656</t>
        </is>
      </c>
      <c r="AX689" t="inlineStr">
        <is>
          <t>991005100549702656</t>
        </is>
      </c>
      <c r="AY689" t="inlineStr">
        <is>
          <t>2257266910002656</t>
        </is>
      </c>
      <c r="AZ689" t="inlineStr">
        <is>
          <t>BOOK</t>
        </is>
      </c>
      <c r="BB689" t="inlineStr">
        <is>
          <t>9780470129326</t>
        </is>
      </c>
      <c r="BC689" t="inlineStr">
        <is>
          <t>32285005450472</t>
        </is>
      </c>
      <c r="BD689" t="inlineStr">
        <is>
          <t>893795609</t>
        </is>
      </c>
    </row>
    <row r="690">
      <c r="A690" t="inlineStr">
        <is>
          <t>No</t>
        </is>
      </c>
      <c r="B690" t="inlineStr">
        <is>
          <t>QD262 .A44 2001</t>
        </is>
      </c>
      <c r="C690" t="inlineStr">
        <is>
          <t>0                      QD 0262000A  44          2001</t>
        </is>
      </c>
      <c r="D690" t="inlineStr">
        <is>
          <t>Organic synthesis : special techniques / V.K. Ahluwalia, Renu Aggarwal.</t>
        </is>
      </c>
      <c r="F690" t="inlineStr">
        <is>
          <t>No</t>
        </is>
      </c>
      <c r="G690" t="inlineStr">
        <is>
          <t>1</t>
        </is>
      </c>
      <c r="H690" t="inlineStr">
        <is>
          <t>No</t>
        </is>
      </c>
      <c r="I690" t="inlineStr">
        <is>
          <t>No</t>
        </is>
      </c>
      <c r="J690" t="inlineStr">
        <is>
          <t>0</t>
        </is>
      </c>
      <c r="K690" t="inlineStr">
        <is>
          <t>Ahluwalia, V. K.</t>
        </is>
      </c>
      <c r="L690" t="inlineStr">
        <is>
          <t>Pangbourne [England] : Alpha Science ; [Boca Raton, Fla. : CRC Press], c2001.</t>
        </is>
      </c>
      <c r="M690" t="inlineStr">
        <is>
          <t>2001</t>
        </is>
      </c>
      <c r="O690" t="inlineStr">
        <is>
          <t>eng</t>
        </is>
      </c>
      <c r="P690" t="inlineStr">
        <is>
          <t>enk</t>
        </is>
      </c>
      <c r="R690" t="inlineStr">
        <is>
          <t xml:space="preserve">QD </t>
        </is>
      </c>
      <c r="S690" t="n">
        <v>1</v>
      </c>
      <c r="T690" t="n">
        <v>1</v>
      </c>
      <c r="U690" t="inlineStr">
        <is>
          <t>2003-03-19</t>
        </is>
      </c>
      <c r="V690" t="inlineStr">
        <is>
          <t>2003-03-19</t>
        </is>
      </c>
      <c r="W690" t="inlineStr">
        <is>
          <t>2003-03-18</t>
        </is>
      </c>
      <c r="X690" t="inlineStr">
        <is>
          <t>2003-03-18</t>
        </is>
      </c>
      <c r="Y690" t="n">
        <v>138</v>
      </c>
      <c r="Z690" t="n">
        <v>106</v>
      </c>
      <c r="AA690" t="n">
        <v>160</v>
      </c>
      <c r="AB690" t="n">
        <v>2</v>
      </c>
      <c r="AC690" t="n">
        <v>2</v>
      </c>
      <c r="AD690" t="n">
        <v>5</v>
      </c>
      <c r="AE690" t="n">
        <v>6</v>
      </c>
      <c r="AF690" t="n">
        <v>1</v>
      </c>
      <c r="AG690" t="n">
        <v>1</v>
      </c>
      <c r="AH690" t="n">
        <v>1</v>
      </c>
      <c r="AI690" t="n">
        <v>2</v>
      </c>
      <c r="AJ690" t="n">
        <v>3</v>
      </c>
      <c r="AK690" t="n">
        <v>4</v>
      </c>
      <c r="AL690" t="n">
        <v>1</v>
      </c>
      <c r="AM690" t="n">
        <v>1</v>
      </c>
      <c r="AN690" t="n">
        <v>0</v>
      </c>
      <c r="AO690" t="n">
        <v>0</v>
      </c>
      <c r="AP690" t="inlineStr">
        <is>
          <t>No</t>
        </is>
      </c>
      <c r="AQ690" t="inlineStr">
        <is>
          <t>Yes</t>
        </is>
      </c>
      <c r="AR690">
        <f>HYPERLINK("http://catalog.hathitrust.org/Record/102020529","HathiTrust Record")</f>
        <v/>
      </c>
      <c r="AS690">
        <f>HYPERLINK("https://creighton-primo.hosted.exlibrisgroup.com/primo-explore/search?tab=default_tab&amp;search_scope=EVERYTHING&amp;vid=01CRU&amp;lang=en_US&amp;offset=0&amp;query=any,contains,991003999399702656","Catalog Record")</f>
        <v/>
      </c>
      <c r="AT690">
        <f>HYPERLINK("http://www.worldcat.org/oclc/49403129","WorldCat Record")</f>
        <v/>
      </c>
      <c r="AU690" t="inlineStr">
        <is>
          <t>864060995:eng</t>
        </is>
      </c>
      <c r="AV690" t="inlineStr">
        <is>
          <t>49403129</t>
        </is>
      </c>
      <c r="AW690" t="inlineStr">
        <is>
          <t>991003999399702656</t>
        </is>
      </c>
      <c r="AX690" t="inlineStr">
        <is>
          <t>991003999399702656</t>
        </is>
      </c>
      <c r="AY690" t="inlineStr">
        <is>
          <t>2258521900002656</t>
        </is>
      </c>
      <c r="AZ690" t="inlineStr">
        <is>
          <t>BOOK</t>
        </is>
      </c>
      <c r="BB690" t="inlineStr">
        <is>
          <t>9780849310027</t>
        </is>
      </c>
      <c r="BC690" t="inlineStr">
        <is>
          <t>32285004685177</t>
        </is>
      </c>
      <c r="BD690" t="inlineStr">
        <is>
          <t>893410988</t>
        </is>
      </c>
    </row>
    <row r="691">
      <c r="A691" t="inlineStr">
        <is>
          <t>No</t>
        </is>
      </c>
      <c r="B691" t="inlineStr">
        <is>
          <t>QD262 .B65 2005</t>
        </is>
      </c>
      <c r="C691" t="inlineStr">
        <is>
          <t>0                      QD 0262000B  65          2005</t>
        </is>
      </c>
      <c r="D691" t="inlineStr">
        <is>
          <t>Microwave-assisted organic synthesis : one hundred reaction procedures / Dariusz Bogdal.</t>
        </is>
      </c>
      <c r="F691" t="inlineStr">
        <is>
          <t>No</t>
        </is>
      </c>
      <c r="G691" t="inlineStr">
        <is>
          <t>1</t>
        </is>
      </c>
      <c r="H691" t="inlineStr">
        <is>
          <t>No</t>
        </is>
      </c>
      <c r="I691" t="inlineStr">
        <is>
          <t>No</t>
        </is>
      </c>
      <c r="J691" t="inlineStr">
        <is>
          <t>0</t>
        </is>
      </c>
      <c r="K691" t="inlineStr">
        <is>
          <t>Bogdal, Dariusz.</t>
        </is>
      </c>
      <c r="L691" t="inlineStr">
        <is>
          <t>Amsterdam ; Oxford : Elsevier, 2005.</t>
        </is>
      </c>
      <c r="M691" t="inlineStr">
        <is>
          <t>2005</t>
        </is>
      </c>
      <c r="N691" t="inlineStr">
        <is>
          <t>1st ed.</t>
        </is>
      </c>
      <c r="O691" t="inlineStr">
        <is>
          <t>eng</t>
        </is>
      </c>
      <c r="P691" t="inlineStr">
        <is>
          <t xml:space="preserve">ne </t>
        </is>
      </c>
      <c r="Q691" t="inlineStr">
        <is>
          <t>Tetrahedron organic chemistry series ; v. 25</t>
        </is>
      </c>
      <c r="R691" t="inlineStr">
        <is>
          <t xml:space="preserve">QD </t>
        </is>
      </c>
      <c r="S691" t="n">
        <v>1</v>
      </c>
      <c r="T691" t="n">
        <v>1</v>
      </c>
      <c r="U691" t="inlineStr">
        <is>
          <t>2006-04-04</t>
        </is>
      </c>
      <c r="V691" t="inlineStr">
        <is>
          <t>2006-04-04</t>
        </is>
      </c>
      <c r="W691" t="inlineStr">
        <is>
          <t>2006-02-27</t>
        </is>
      </c>
      <c r="X691" t="inlineStr">
        <is>
          <t>2006-02-27</t>
        </is>
      </c>
      <c r="Y691" t="n">
        <v>305</v>
      </c>
      <c r="Z691" t="n">
        <v>248</v>
      </c>
      <c r="AA691" t="n">
        <v>872</v>
      </c>
      <c r="AB691" t="n">
        <v>5</v>
      </c>
      <c r="AC691" t="n">
        <v>10</v>
      </c>
      <c r="AD691" t="n">
        <v>15</v>
      </c>
      <c r="AE691" t="n">
        <v>34</v>
      </c>
      <c r="AF691" t="n">
        <v>6</v>
      </c>
      <c r="AG691" t="n">
        <v>11</v>
      </c>
      <c r="AH691" t="n">
        <v>2</v>
      </c>
      <c r="AI691" t="n">
        <v>7</v>
      </c>
      <c r="AJ691" t="n">
        <v>6</v>
      </c>
      <c r="AK691" t="n">
        <v>11</v>
      </c>
      <c r="AL691" t="n">
        <v>4</v>
      </c>
      <c r="AM691" t="n">
        <v>9</v>
      </c>
      <c r="AN691" t="n">
        <v>0</v>
      </c>
      <c r="AO691" t="n">
        <v>1</v>
      </c>
      <c r="AP691" t="inlineStr">
        <is>
          <t>No</t>
        </is>
      </c>
      <c r="AQ691" t="inlineStr">
        <is>
          <t>No</t>
        </is>
      </c>
      <c r="AS691">
        <f>HYPERLINK("https://creighton-primo.hosted.exlibrisgroup.com/primo-explore/search?tab=default_tab&amp;search_scope=EVERYTHING&amp;vid=01CRU&amp;lang=en_US&amp;offset=0&amp;query=any,contains,991004751349702656","Catalog Record")</f>
        <v/>
      </c>
      <c r="AT691">
        <f>HYPERLINK("http://www.worldcat.org/oclc/58554965","WorldCat Record")</f>
        <v/>
      </c>
      <c r="AU691" t="inlineStr">
        <is>
          <t>2973718698:eng</t>
        </is>
      </c>
      <c r="AV691" t="inlineStr">
        <is>
          <t>58554965</t>
        </is>
      </c>
      <c r="AW691" t="inlineStr">
        <is>
          <t>991004751349702656</t>
        </is>
      </c>
      <c r="AX691" t="inlineStr">
        <is>
          <t>991004751349702656</t>
        </is>
      </c>
      <c r="AY691" t="inlineStr">
        <is>
          <t>2263897550002656</t>
        </is>
      </c>
      <c r="AZ691" t="inlineStr">
        <is>
          <t>BOOK</t>
        </is>
      </c>
      <c r="BB691" t="inlineStr">
        <is>
          <t>9780080446219</t>
        </is>
      </c>
      <c r="BC691" t="inlineStr">
        <is>
          <t>32285005169650</t>
        </is>
      </c>
      <c r="BD691" t="inlineStr">
        <is>
          <t>893719309</t>
        </is>
      </c>
    </row>
    <row r="692">
      <c r="A692" t="inlineStr">
        <is>
          <t>No</t>
        </is>
      </c>
      <c r="B692" t="inlineStr">
        <is>
          <t>QD262 .B78</t>
        </is>
      </c>
      <c r="C692" t="inlineStr">
        <is>
          <t>0                      QD 0262000B  78</t>
        </is>
      </c>
      <c r="D692" t="inlineStr">
        <is>
          <t>Survey of organic syntheses / [by] Calvin A. Buehler [and] Donald E. Pearson.</t>
        </is>
      </c>
      <c r="F692" t="inlineStr">
        <is>
          <t>Yes</t>
        </is>
      </c>
      <c r="G692" t="inlineStr">
        <is>
          <t>1</t>
        </is>
      </c>
      <c r="H692" t="inlineStr">
        <is>
          <t>No</t>
        </is>
      </c>
      <c r="I692" t="inlineStr">
        <is>
          <t>No</t>
        </is>
      </c>
      <c r="J692" t="inlineStr">
        <is>
          <t>0</t>
        </is>
      </c>
      <c r="K692" t="inlineStr">
        <is>
          <t>Buehler, Calvin Adam, 1896-</t>
        </is>
      </c>
      <c r="L692" t="inlineStr">
        <is>
          <t>New York : Wiley-Interscience, [1970]-c1976.</t>
        </is>
      </c>
      <c r="M692" t="inlineStr">
        <is>
          <t>1970</t>
        </is>
      </c>
      <c r="O692" t="inlineStr">
        <is>
          <t>eng</t>
        </is>
      </c>
      <c r="P692" t="inlineStr">
        <is>
          <t>nyu</t>
        </is>
      </c>
      <c r="R692" t="inlineStr">
        <is>
          <t xml:space="preserve">QD </t>
        </is>
      </c>
      <c r="S692" t="n">
        <v>6</v>
      </c>
      <c r="T692" t="n">
        <v>6</v>
      </c>
      <c r="U692" t="inlineStr">
        <is>
          <t>1996-04-30</t>
        </is>
      </c>
      <c r="V692" t="inlineStr">
        <is>
          <t>1996-04-30</t>
        </is>
      </c>
      <c r="W692" t="inlineStr">
        <is>
          <t>1993-05-19</t>
        </is>
      </c>
      <c r="X692" t="inlineStr">
        <is>
          <t>1993-05-19</t>
        </is>
      </c>
      <c r="Y692" t="n">
        <v>880</v>
      </c>
      <c r="Z692" t="n">
        <v>751</v>
      </c>
      <c r="AA692" t="n">
        <v>766</v>
      </c>
      <c r="AB692" t="n">
        <v>10</v>
      </c>
      <c r="AC692" t="n">
        <v>10</v>
      </c>
      <c r="AD692" t="n">
        <v>35</v>
      </c>
      <c r="AE692" t="n">
        <v>36</v>
      </c>
      <c r="AF692" t="n">
        <v>12</v>
      </c>
      <c r="AG692" t="n">
        <v>13</v>
      </c>
      <c r="AH692" t="n">
        <v>7</v>
      </c>
      <c r="AI692" t="n">
        <v>7</v>
      </c>
      <c r="AJ692" t="n">
        <v>13</v>
      </c>
      <c r="AK692" t="n">
        <v>13</v>
      </c>
      <c r="AL692" t="n">
        <v>9</v>
      </c>
      <c r="AM692" t="n">
        <v>9</v>
      </c>
      <c r="AN692" t="n">
        <v>0</v>
      </c>
      <c r="AO692" t="n">
        <v>0</v>
      </c>
      <c r="AP692" t="inlineStr">
        <is>
          <t>No</t>
        </is>
      </c>
      <c r="AQ692" t="inlineStr">
        <is>
          <t>Yes</t>
        </is>
      </c>
      <c r="AR692">
        <f>HYPERLINK("http://catalog.hathitrust.org/Record/000236683","HathiTrust Record")</f>
        <v/>
      </c>
      <c r="AS692">
        <f>HYPERLINK("https://creighton-primo.hosted.exlibrisgroup.com/primo-explore/search?tab=default_tab&amp;search_scope=EVERYTHING&amp;vid=01CRU&amp;lang=en_US&amp;offset=0&amp;query=any,contains,991000629659702656","Catalog Record")</f>
        <v/>
      </c>
      <c r="AT692">
        <f>HYPERLINK("http://www.worldcat.org/oclc/105604","WorldCat Record")</f>
        <v/>
      </c>
      <c r="AU692" t="inlineStr">
        <is>
          <t>10792142872:eng</t>
        </is>
      </c>
      <c r="AV692" t="inlineStr">
        <is>
          <t>105604</t>
        </is>
      </c>
      <c r="AW692" t="inlineStr">
        <is>
          <t>991000629659702656</t>
        </is>
      </c>
      <c r="AX692" t="inlineStr">
        <is>
          <t>991000629659702656</t>
        </is>
      </c>
      <c r="AY692" t="inlineStr">
        <is>
          <t>2263131820002656</t>
        </is>
      </c>
      <c r="AZ692" t="inlineStr">
        <is>
          <t>BOOK</t>
        </is>
      </c>
      <c r="BB692" t="inlineStr">
        <is>
          <t>9780471116707</t>
        </is>
      </c>
      <c r="BC692" t="inlineStr">
        <is>
          <t>32285001690097</t>
        </is>
      </c>
      <c r="BD692" t="inlineStr">
        <is>
          <t>893345827</t>
        </is>
      </c>
    </row>
    <row r="693">
      <c r="A693" t="inlineStr">
        <is>
          <t>No</t>
        </is>
      </c>
      <c r="B693" t="inlineStr">
        <is>
          <t>QD262 .C535 1991</t>
        </is>
      </c>
      <c r="C693" t="inlineStr">
        <is>
          <t>0                      QD 0262000C  535         1991</t>
        </is>
      </c>
      <c r="D693" t="inlineStr">
        <is>
          <t>Comprehensive organic synthesis : selectivity, strategy, &amp; efficiency in modern organic chemistry / editor-in-chief, Barry M. Trost ; deputy editor-in-chief, Ian Fleming.</t>
        </is>
      </c>
      <c r="E693" t="inlineStr">
        <is>
          <t>V.9</t>
        </is>
      </c>
      <c r="F693" t="inlineStr">
        <is>
          <t>Yes</t>
        </is>
      </c>
      <c r="G693" t="inlineStr">
        <is>
          <t>1</t>
        </is>
      </c>
      <c r="H693" t="inlineStr">
        <is>
          <t>No</t>
        </is>
      </c>
      <c r="I693" t="inlineStr">
        <is>
          <t>No</t>
        </is>
      </c>
      <c r="J693" t="inlineStr">
        <is>
          <t>0</t>
        </is>
      </c>
      <c r="L693" t="inlineStr">
        <is>
          <t>Oxford, England ; New York : Pergamon Press, 1991.</t>
        </is>
      </c>
      <c r="M693" t="inlineStr">
        <is>
          <t>1991</t>
        </is>
      </c>
      <c r="N693" t="inlineStr">
        <is>
          <t>1st ed.</t>
        </is>
      </c>
      <c r="O693" t="inlineStr">
        <is>
          <t>eng</t>
        </is>
      </c>
      <c r="P693" t="inlineStr">
        <is>
          <t>enk</t>
        </is>
      </c>
      <c r="R693" t="inlineStr">
        <is>
          <t xml:space="preserve">QD </t>
        </is>
      </c>
      <c r="S693" t="n">
        <v>0</v>
      </c>
      <c r="T693" t="n">
        <v>33</v>
      </c>
      <c r="V693" t="inlineStr">
        <is>
          <t>2007-04-19</t>
        </is>
      </c>
      <c r="W693" t="inlineStr">
        <is>
          <t>1994-06-02</t>
        </is>
      </c>
      <c r="X693" t="inlineStr">
        <is>
          <t>1994-06-02</t>
        </is>
      </c>
      <c r="Y693" t="n">
        <v>425</v>
      </c>
      <c r="Z693" t="n">
        <v>294</v>
      </c>
      <c r="AA693" t="n">
        <v>418</v>
      </c>
      <c r="AB693" t="n">
        <v>3</v>
      </c>
      <c r="AC693" t="n">
        <v>3</v>
      </c>
      <c r="AD693" t="n">
        <v>15</v>
      </c>
      <c r="AE693" t="n">
        <v>18</v>
      </c>
      <c r="AF693" t="n">
        <v>4</v>
      </c>
      <c r="AG693" t="n">
        <v>6</v>
      </c>
      <c r="AH693" t="n">
        <v>5</v>
      </c>
      <c r="AI693" t="n">
        <v>5</v>
      </c>
      <c r="AJ693" t="n">
        <v>8</v>
      </c>
      <c r="AK693" t="n">
        <v>9</v>
      </c>
      <c r="AL693" t="n">
        <v>2</v>
      </c>
      <c r="AM693" t="n">
        <v>2</v>
      </c>
      <c r="AN693" t="n">
        <v>0</v>
      </c>
      <c r="AO693" t="n">
        <v>0</v>
      </c>
      <c r="AP693" t="inlineStr">
        <is>
          <t>No</t>
        </is>
      </c>
      <c r="AQ693" t="inlineStr">
        <is>
          <t>Yes</t>
        </is>
      </c>
      <c r="AR693">
        <f>HYPERLINK("http://catalog.hathitrust.org/Record/002499047","HathiTrust Record")</f>
        <v/>
      </c>
      <c r="AS693">
        <f>HYPERLINK("https://creighton-primo.hosted.exlibrisgroup.com/primo-explore/search?tab=default_tab&amp;search_scope=EVERYTHING&amp;vid=01CRU&amp;lang=en_US&amp;offset=0&amp;query=any,contains,991001823719702656","Catalog Record")</f>
        <v/>
      </c>
      <c r="AT693">
        <f>HYPERLINK("http://www.worldcat.org/oclc/22908940","WorldCat Record")</f>
        <v/>
      </c>
      <c r="AU693" t="inlineStr">
        <is>
          <t>4926788691:eng</t>
        </is>
      </c>
      <c r="AV693" t="inlineStr">
        <is>
          <t>22908940</t>
        </is>
      </c>
      <c r="AW693" t="inlineStr">
        <is>
          <t>991001823719702656</t>
        </is>
      </c>
      <c r="AX693" t="inlineStr">
        <is>
          <t>991001823719702656</t>
        </is>
      </c>
      <c r="AY693" t="inlineStr">
        <is>
          <t>2263613750002656</t>
        </is>
      </c>
      <c r="AZ693" t="inlineStr">
        <is>
          <t>BOOK</t>
        </is>
      </c>
      <c r="BB693" t="inlineStr">
        <is>
          <t>9780080359298</t>
        </is>
      </c>
      <c r="BC693" t="inlineStr">
        <is>
          <t>32285001925790</t>
        </is>
      </c>
      <c r="BD693" t="inlineStr">
        <is>
          <t>893316094</t>
        </is>
      </c>
    </row>
    <row r="694">
      <c r="A694" t="inlineStr">
        <is>
          <t>No</t>
        </is>
      </c>
      <c r="B694" t="inlineStr">
        <is>
          <t>QD262 .C535 1991</t>
        </is>
      </c>
      <c r="C694" t="inlineStr">
        <is>
          <t>0                      QD 0262000C  535         1991</t>
        </is>
      </c>
      <c r="D694" t="inlineStr">
        <is>
          <t>Comprehensive organic synthesis : selectivity, strategy, &amp; efficiency in modern organic chemistry / editor-in-chief, Barry M. Trost ; deputy editor-in-chief, Ian Fleming.</t>
        </is>
      </c>
      <c r="E694" t="inlineStr">
        <is>
          <t>V.8</t>
        </is>
      </c>
      <c r="F694" t="inlineStr">
        <is>
          <t>Yes</t>
        </is>
      </c>
      <c r="G694" t="inlineStr">
        <is>
          <t>1</t>
        </is>
      </c>
      <c r="H694" t="inlineStr">
        <is>
          <t>No</t>
        </is>
      </c>
      <c r="I694" t="inlineStr">
        <is>
          <t>No</t>
        </is>
      </c>
      <c r="J694" t="inlineStr">
        <is>
          <t>0</t>
        </is>
      </c>
      <c r="L694" t="inlineStr">
        <is>
          <t>Oxford, England ; New York : Pergamon Press, 1991.</t>
        </is>
      </c>
      <c r="M694" t="inlineStr">
        <is>
          <t>1991</t>
        </is>
      </c>
      <c r="N694" t="inlineStr">
        <is>
          <t>1st ed.</t>
        </is>
      </c>
      <c r="O694" t="inlineStr">
        <is>
          <t>eng</t>
        </is>
      </c>
      <c r="P694" t="inlineStr">
        <is>
          <t>enk</t>
        </is>
      </c>
      <c r="R694" t="inlineStr">
        <is>
          <t xml:space="preserve">QD </t>
        </is>
      </c>
      <c r="S694" t="n">
        <v>7</v>
      </c>
      <c r="T694" t="n">
        <v>33</v>
      </c>
      <c r="U694" t="inlineStr">
        <is>
          <t>2005-02-27</t>
        </is>
      </c>
      <c r="V694" t="inlineStr">
        <is>
          <t>2007-04-19</t>
        </is>
      </c>
      <c r="W694" t="inlineStr">
        <is>
          <t>1994-06-02</t>
        </is>
      </c>
      <c r="X694" t="inlineStr">
        <is>
          <t>1994-06-02</t>
        </is>
      </c>
      <c r="Y694" t="n">
        <v>425</v>
      </c>
      <c r="Z694" t="n">
        <v>294</v>
      </c>
      <c r="AA694" t="n">
        <v>418</v>
      </c>
      <c r="AB694" t="n">
        <v>3</v>
      </c>
      <c r="AC694" t="n">
        <v>3</v>
      </c>
      <c r="AD694" t="n">
        <v>15</v>
      </c>
      <c r="AE694" t="n">
        <v>18</v>
      </c>
      <c r="AF694" t="n">
        <v>4</v>
      </c>
      <c r="AG694" t="n">
        <v>6</v>
      </c>
      <c r="AH694" t="n">
        <v>5</v>
      </c>
      <c r="AI694" t="n">
        <v>5</v>
      </c>
      <c r="AJ694" t="n">
        <v>8</v>
      </c>
      <c r="AK694" t="n">
        <v>9</v>
      </c>
      <c r="AL694" t="n">
        <v>2</v>
      </c>
      <c r="AM694" t="n">
        <v>2</v>
      </c>
      <c r="AN694" t="n">
        <v>0</v>
      </c>
      <c r="AO694" t="n">
        <v>0</v>
      </c>
      <c r="AP694" t="inlineStr">
        <is>
          <t>No</t>
        </is>
      </c>
      <c r="AQ694" t="inlineStr">
        <is>
          <t>Yes</t>
        </is>
      </c>
      <c r="AR694">
        <f>HYPERLINK("http://catalog.hathitrust.org/Record/002499047","HathiTrust Record")</f>
        <v/>
      </c>
      <c r="AS694">
        <f>HYPERLINK("https://creighton-primo.hosted.exlibrisgroup.com/primo-explore/search?tab=default_tab&amp;search_scope=EVERYTHING&amp;vid=01CRU&amp;lang=en_US&amp;offset=0&amp;query=any,contains,991001823719702656","Catalog Record")</f>
        <v/>
      </c>
      <c r="AT694">
        <f>HYPERLINK("http://www.worldcat.org/oclc/22908940","WorldCat Record")</f>
        <v/>
      </c>
      <c r="AU694" t="inlineStr">
        <is>
          <t>4926788691:eng</t>
        </is>
      </c>
      <c r="AV694" t="inlineStr">
        <is>
          <t>22908940</t>
        </is>
      </c>
      <c r="AW694" t="inlineStr">
        <is>
          <t>991001823719702656</t>
        </is>
      </c>
      <c r="AX694" t="inlineStr">
        <is>
          <t>991001823719702656</t>
        </is>
      </c>
      <c r="AY694" t="inlineStr">
        <is>
          <t>2263613750002656</t>
        </is>
      </c>
      <c r="AZ694" t="inlineStr">
        <is>
          <t>BOOK</t>
        </is>
      </c>
      <c r="BB694" t="inlineStr">
        <is>
          <t>9780080359298</t>
        </is>
      </c>
      <c r="BC694" t="inlineStr">
        <is>
          <t>32285001925782</t>
        </is>
      </c>
      <c r="BD694" t="inlineStr">
        <is>
          <t>893316095</t>
        </is>
      </c>
    </row>
    <row r="695">
      <c r="A695" t="inlineStr">
        <is>
          <t>No</t>
        </is>
      </c>
      <c r="B695" t="inlineStr">
        <is>
          <t>QD262 .C535 1991</t>
        </is>
      </c>
      <c r="C695" t="inlineStr">
        <is>
          <t>0                      QD 0262000C  535         1991</t>
        </is>
      </c>
      <c r="D695" t="inlineStr">
        <is>
          <t>Comprehensive organic synthesis : selectivity, strategy, &amp; efficiency in modern organic chemistry / editor-in-chief, Barry M. Trost ; deputy editor-in-chief, Ian Fleming.</t>
        </is>
      </c>
      <c r="E695" t="inlineStr">
        <is>
          <t>V.7</t>
        </is>
      </c>
      <c r="F695" t="inlineStr">
        <is>
          <t>Yes</t>
        </is>
      </c>
      <c r="G695" t="inlineStr">
        <is>
          <t>1</t>
        </is>
      </c>
      <c r="H695" t="inlineStr">
        <is>
          <t>No</t>
        </is>
      </c>
      <c r="I695" t="inlineStr">
        <is>
          <t>No</t>
        </is>
      </c>
      <c r="J695" t="inlineStr">
        <is>
          <t>0</t>
        </is>
      </c>
      <c r="L695" t="inlineStr">
        <is>
          <t>Oxford, England ; New York : Pergamon Press, 1991.</t>
        </is>
      </c>
      <c r="M695" t="inlineStr">
        <is>
          <t>1991</t>
        </is>
      </c>
      <c r="N695" t="inlineStr">
        <is>
          <t>1st ed.</t>
        </is>
      </c>
      <c r="O695" t="inlineStr">
        <is>
          <t>eng</t>
        </is>
      </c>
      <c r="P695" t="inlineStr">
        <is>
          <t>enk</t>
        </is>
      </c>
      <c r="R695" t="inlineStr">
        <is>
          <t xml:space="preserve">QD </t>
        </is>
      </c>
      <c r="S695" t="n">
        <v>1</v>
      </c>
      <c r="T695" t="n">
        <v>33</v>
      </c>
      <c r="U695" t="inlineStr">
        <is>
          <t>2005-02-27</t>
        </is>
      </c>
      <c r="V695" t="inlineStr">
        <is>
          <t>2007-04-19</t>
        </is>
      </c>
      <c r="W695" t="inlineStr">
        <is>
          <t>1994-06-02</t>
        </is>
      </c>
      <c r="X695" t="inlineStr">
        <is>
          <t>1994-06-02</t>
        </is>
      </c>
      <c r="Y695" t="n">
        <v>425</v>
      </c>
      <c r="Z695" t="n">
        <v>294</v>
      </c>
      <c r="AA695" t="n">
        <v>418</v>
      </c>
      <c r="AB695" t="n">
        <v>3</v>
      </c>
      <c r="AC695" t="n">
        <v>3</v>
      </c>
      <c r="AD695" t="n">
        <v>15</v>
      </c>
      <c r="AE695" t="n">
        <v>18</v>
      </c>
      <c r="AF695" t="n">
        <v>4</v>
      </c>
      <c r="AG695" t="n">
        <v>6</v>
      </c>
      <c r="AH695" t="n">
        <v>5</v>
      </c>
      <c r="AI695" t="n">
        <v>5</v>
      </c>
      <c r="AJ695" t="n">
        <v>8</v>
      </c>
      <c r="AK695" t="n">
        <v>9</v>
      </c>
      <c r="AL695" t="n">
        <v>2</v>
      </c>
      <c r="AM695" t="n">
        <v>2</v>
      </c>
      <c r="AN695" t="n">
        <v>0</v>
      </c>
      <c r="AO695" t="n">
        <v>0</v>
      </c>
      <c r="AP695" t="inlineStr">
        <is>
          <t>No</t>
        </is>
      </c>
      <c r="AQ695" t="inlineStr">
        <is>
          <t>Yes</t>
        </is>
      </c>
      <c r="AR695">
        <f>HYPERLINK("http://catalog.hathitrust.org/Record/002499047","HathiTrust Record")</f>
        <v/>
      </c>
      <c r="AS695">
        <f>HYPERLINK("https://creighton-primo.hosted.exlibrisgroup.com/primo-explore/search?tab=default_tab&amp;search_scope=EVERYTHING&amp;vid=01CRU&amp;lang=en_US&amp;offset=0&amp;query=any,contains,991001823719702656","Catalog Record")</f>
        <v/>
      </c>
      <c r="AT695">
        <f>HYPERLINK("http://www.worldcat.org/oclc/22908940","WorldCat Record")</f>
        <v/>
      </c>
      <c r="AU695" t="inlineStr">
        <is>
          <t>4926788691:eng</t>
        </is>
      </c>
      <c r="AV695" t="inlineStr">
        <is>
          <t>22908940</t>
        </is>
      </c>
      <c r="AW695" t="inlineStr">
        <is>
          <t>991001823719702656</t>
        </is>
      </c>
      <c r="AX695" t="inlineStr">
        <is>
          <t>991001823719702656</t>
        </is>
      </c>
      <c r="AY695" t="inlineStr">
        <is>
          <t>2263613750002656</t>
        </is>
      </c>
      <c r="AZ695" t="inlineStr">
        <is>
          <t>BOOK</t>
        </is>
      </c>
      <c r="BB695" t="inlineStr">
        <is>
          <t>9780080359298</t>
        </is>
      </c>
      <c r="BC695" t="inlineStr">
        <is>
          <t>32285001925774</t>
        </is>
      </c>
      <c r="BD695" t="inlineStr">
        <is>
          <t>893352029</t>
        </is>
      </c>
    </row>
    <row r="696">
      <c r="A696" t="inlineStr">
        <is>
          <t>No</t>
        </is>
      </c>
      <c r="B696" t="inlineStr">
        <is>
          <t>QD262 .C535 1991</t>
        </is>
      </c>
      <c r="C696" t="inlineStr">
        <is>
          <t>0                      QD 0262000C  535         1991</t>
        </is>
      </c>
      <c r="D696" t="inlineStr">
        <is>
          <t>Comprehensive organic synthesis : selectivity, strategy, &amp; efficiency in modern organic chemistry / editor-in-chief, Barry M. Trost ; deputy editor-in-chief, Ian Fleming.</t>
        </is>
      </c>
      <c r="E696" t="inlineStr">
        <is>
          <t>V.6</t>
        </is>
      </c>
      <c r="F696" t="inlineStr">
        <is>
          <t>Yes</t>
        </is>
      </c>
      <c r="G696" t="inlineStr">
        <is>
          <t>1</t>
        </is>
      </c>
      <c r="H696" t="inlineStr">
        <is>
          <t>No</t>
        </is>
      </c>
      <c r="I696" t="inlineStr">
        <is>
          <t>No</t>
        </is>
      </c>
      <c r="J696" t="inlineStr">
        <is>
          <t>0</t>
        </is>
      </c>
      <c r="L696" t="inlineStr">
        <is>
          <t>Oxford, England ; New York : Pergamon Press, 1991.</t>
        </is>
      </c>
      <c r="M696" t="inlineStr">
        <is>
          <t>1991</t>
        </is>
      </c>
      <c r="N696" t="inlineStr">
        <is>
          <t>1st ed.</t>
        </is>
      </c>
      <c r="O696" t="inlineStr">
        <is>
          <t>eng</t>
        </is>
      </c>
      <c r="P696" t="inlineStr">
        <is>
          <t>enk</t>
        </is>
      </c>
      <c r="R696" t="inlineStr">
        <is>
          <t xml:space="preserve">QD </t>
        </is>
      </c>
      <c r="S696" t="n">
        <v>4</v>
      </c>
      <c r="T696" t="n">
        <v>33</v>
      </c>
      <c r="U696" t="inlineStr">
        <is>
          <t>1997-10-06</t>
        </is>
      </c>
      <c r="V696" t="inlineStr">
        <is>
          <t>2007-04-19</t>
        </is>
      </c>
      <c r="W696" t="inlineStr">
        <is>
          <t>1994-06-02</t>
        </is>
      </c>
      <c r="X696" t="inlineStr">
        <is>
          <t>1994-06-02</t>
        </is>
      </c>
      <c r="Y696" t="n">
        <v>425</v>
      </c>
      <c r="Z696" t="n">
        <v>294</v>
      </c>
      <c r="AA696" t="n">
        <v>418</v>
      </c>
      <c r="AB696" t="n">
        <v>3</v>
      </c>
      <c r="AC696" t="n">
        <v>3</v>
      </c>
      <c r="AD696" t="n">
        <v>15</v>
      </c>
      <c r="AE696" t="n">
        <v>18</v>
      </c>
      <c r="AF696" t="n">
        <v>4</v>
      </c>
      <c r="AG696" t="n">
        <v>6</v>
      </c>
      <c r="AH696" t="n">
        <v>5</v>
      </c>
      <c r="AI696" t="n">
        <v>5</v>
      </c>
      <c r="AJ696" t="n">
        <v>8</v>
      </c>
      <c r="AK696" t="n">
        <v>9</v>
      </c>
      <c r="AL696" t="n">
        <v>2</v>
      </c>
      <c r="AM696" t="n">
        <v>2</v>
      </c>
      <c r="AN696" t="n">
        <v>0</v>
      </c>
      <c r="AO696" t="n">
        <v>0</v>
      </c>
      <c r="AP696" t="inlineStr">
        <is>
          <t>No</t>
        </is>
      </c>
      <c r="AQ696" t="inlineStr">
        <is>
          <t>Yes</t>
        </is>
      </c>
      <c r="AR696">
        <f>HYPERLINK("http://catalog.hathitrust.org/Record/002499047","HathiTrust Record")</f>
        <v/>
      </c>
      <c r="AS696">
        <f>HYPERLINK("https://creighton-primo.hosted.exlibrisgroup.com/primo-explore/search?tab=default_tab&amp;search_scope=EVERYTHING&amp;vid=01CRU&amp;lang=en_US&amp;offset=0&amp;query=any,contains,991001823719702656","Catalog Record")</f>
        <v/>
      </c>
      <c r="AT696">
        <f>HYPERLINK("http://www.worldcat.org/oclc/22908940","WorldCat Record")</f>
        <v/>
      </c>
      <c r="AU696" t="inlineStr">
        <is>
          <t>4926788691:eng</t>
        </is>
      </c>
      <c r="AV696" t="inlineStr">
        <is>
          <t>22908940</t>
        </is>
      </c>
      <c r="AW696" t="inlineStr">
        <is>
          <t>991001823719702656</t>
        </is>
      </c>
      <c r="AX696" t="inlineStr">
        <is>
          <t>991001823719702656</t>
        </is>
      </c>
      <c r="AY696" t="inlineStr">
        <is>
          <t>2263613750002656</t>
        </is>
      </c>
      <c r="AZ696" t="inlineStr">
        <is>
          <t>BOOK</t>
        </is>
      </c>
      <c r="BB696" t="inlineStr">
        <is>
          <t>9780080359298</t>
        </is>
      </c>
      <c r="BC696" t="inlineStr">
        <is>
          <t>32285001925766</t>
        </is>
      </c>
      <c r="BD696" t="inlineStr">
        <is>
          <t>893316096</t>
        </is>
      </c>
    </row>
    <row r="697">
      <c r="A697" t="inlineStr">
        <is>
          <t>No</t>
        </is>
      </c>
      <c r="B697" t="inlineStr">
        <is>
          <t>QD262 .C535 1991</t>
        </is>
      </c>
      <c r="C697" t="inlineStr">
        <is>
          <t>0                      QD 0262000C  535         1991</t>
        </is>
      </c>
      <c r="D697" t="inlineStr">
        <is>
          <t>Comprehensive organic synthesis : selectivity, strategy, &amp; efficiency in modern organic chemistry / editor-in-chief, Barry M. Trost ; deputy editor-in-chief, Ian Fleming.</t>
        </is>
      </c>
      <c r="E697" t="inlineStr">
        <is>
          <t>V.3</t>
        </is>
      </c>
      <c r="F697" t="inlineStr">
        <is>
          <t>Yes</t>
        </is>
      </c>
      <c r="G697" t="inlineStr">
        <is>
          <t>1</t>
        </is>
      </c>
      <c r="H697" t="inlineStr">
        <is>
          <t>No</t>
        </is>
      </c>
      <c r="I697" t="inlineStr">
        <is>
          <t>No</t>
        </is>
      </c>
      <c r="J697" t="inlineStr">
        <is>
          <t>0</t>
        </is>
      </c>
      <c r="L697" t="inlineStr">
        <is>
          <t>Oxford, England ; New York : Pergamon Press, 1991.</t>
        </is>
      </c>
      <c r="M697" t="inlineStr">
        <is>
          <t>1991</t>
        </is>
      </c>
      <c r="N697" t="inlineStr">
        <is>
          <t>1st ed.</t>
        </is>
      </c>
      <c r="O697" t="inlineStr">
        <is>
          <t>eng</t>
        </is>
      </c>
      <c r="P697" t="inlineStr">
        <is>
          <t>enk</t>
        </is>
      </c>
      <c r="R697" t="inlineStr">
        <is>
          <t xml:space="preserve">QD </t>
        </is>
      </c>
      <c r="S697" t="n">
        <v>9</v>
      </c>
      <c r="T697" t="n">
        <v>33</v>
      </c>
      <c r="U697" t="inlineStr">
        <is>
          <t>1996-10-16</t>
        </is>
      </c>
      <c r="V697" t="inlineStr">
        <is>
          <t>2007-04-19</t>
        </is>
      </c>
      <c r="W697" t="inlineStr">
        <is>
          <t>1994-06-02</t>
        </is>
      </c>
      <c r="X697" t="inlineStr">
        <is>
          <t>1994-06-02</t>
        </is>
      </c>
      <c r="Y697" t="n">
        <v>425</v>
      </c>
      <c r="Z697" t="n">
        <v>294</v>
      </c>
      <c r="AA697" t="n">
        <v>418</v>
      </c>
      <c r="AB697" t="n">
        <v>3</v>
      </c>
      <c r="AC697" t="n">
        <v>3</v>
      </c>
      <c r="AD697" t="n">
        <v>15</v>
      </c>
      <c r="AE697" t="n">
        <v>18</v>
      </c>
      <c r="AF697" t="n">
        <v>4</v>
      </c>
      <c r="AG697" t="n">
        <v>6</v>
      </c>
      <c r="AH697" t="n">
        <v>5</v>
      </c>
      <c r="AI697" t="n">
        <v>5</v>
      </c>
      <c r="AJ697" t="n">
        <v>8</v>
      </c>
      <c r="AK697" t="n">
        <v>9</v>
      </c>
      <c r="AL697" t="n">
        <v>2</v>
      </c>
      <c r="AM697" t="n">
        <v>2</v>
      </c>
      <c r="AN697" t="n">
        <v>0</v>
      </c>
      <c r="AO697" t="n">
        <v>0</v>
      </c>
      <c r="AP697" t="inlineStr">
        <is>
          <t>No</t>
        </is>
      </c>
      <c r="AQ697" t="inlineStr">
        <is>
          <t>Yes</t>
        </is>
      </c>
      <c r="AR697">
        <f>HYPERLINK("http://catalog.hathitrust.org/Record/002499047","HathiTrust Record")</f>
        <v/>
      </c>
      <c r="AS697">
        <f>HYPERLINK("https://creighton-primo.hosted.exlibrisgroup.com/primo-explore/search?tab=default_tab&amp;search_scope=EVERYTHING&amp;vid=01CRU&amp;lang=en_US&amp;offset=0&amp;query=any,contains,991001823719702656","Catalog Record")</f>
        <v/>
      </c>
      <c r="AT697">
        <f>HYPERLINK("http://www.worldcat.org/oclc/22908940","WorldCat Record")</f>
        <v/>
      </c>
      <c r="AU697" t="inlineStr">
        <is>
          <t>4926788691:eng</t>
        </is>
      </c>
      <c r="AV697" t="inlineStr">
        <is>
          <t>22908940</t>
        </is>
      </c>
      <c r="AW697" t="inlineStr">
        <is>
          <t>991001823719702656</t>
        </is>
      </c>
      <c r="AX697" t="inlineStr">
        <is>
          <t>991001823719702656</t>
        </is>
      </c>
      <c r="AY697" t="inlineStr">
        <is>
          <t>2263613750002656</t>
        </is>
      </c>
      <c r="AZ697" t="inlineStr">
        <is>
          <t>BOOK</t>
        </is>
      </c>
      <c r="BB697" t="inlineStr">
        <is>
          <t>9780080359298</t>
        </is>
      </c>
      <c r="BC697" t="inlineStr">
        <is>
          <t>32285001925733</t>
        </is>
      </c>
      <c r="BD697" t="inlineStr">
        <is>
          <t>893334638</t>
        </is>
      </c>
    </row>
    <row r="698">
      <c r="A698" t="inlineStr">
        <is>
          <t>No</t>
        </is>
      </c>
      <c r="B698" t="inlineStr">
        <is>
          <t>QD262 .C535 1991</t>
        </is>
      </c>
      <c r="C698" t="inlineStr">
        <is>
          <t>0                      QD 0262000C  535         1991</t>
        </is>
      </c>
      <c r="D698" t="inlineStr">
        <is>
          <t>Comprehensive organic synthesis : selectivity, strategy, &amp; efficiency in modern organic chemistry / editor-in-chief, Barry M. Trost ; deputy editor-in-chief, Ian Fleming.</t>
        </is>
      </c>
      <c r="E698" t="inlineStr">
        <is>
          <t>V.2</t>
        </is>
      </c>
      <c r="F698" t="inlineStr">
        <is>
          <t>Yes</t>
        </is>
      </c>
      <c r="G698" t="inlineStr">
        <is>
          <t>1</t>
        </is>
      </c>
      <c r="H698" t="inlineStr">
        <is>
          <t>No</t>
        </is>
      </c>
      <c r="I698" t="inlineStr">
        <is>
          <t>No</t>
        </is>
      </c>
      <c r="J698" t="inlineStr">
        <is>
          <t>0</t>
        </is>
      </c>
      <c r="L698" t="inlineStr">
        <is>
          <t>Oxford, England ; New York : Pergamon Press, 1991.</t>
        </is>
      </c>
      <c r="M698" t="inlineStr">
        <is>
          <t>1991</t>
        </is>
      </c>
      <c r="N698" t="inlineStr">
        <is>
          <t>1st ed.</t>
        </is>
      </c>
      <c r="O698" t="inlineStr">
        <is>
          <t>eng</t>
        </is>
      </c>
      <c r="P698" t="inlineStr">
        <is>
          <t>enk</t>
        </is>
      </c>
      <c r="R698" t="inlineStr">
        <is>
          <t xml:space="preserve">QD </t>
        </is>
      </c>
      <c r="S698" t="n">
        <v>0</v>
      </c>
      <c r="T698" t="n">
        <v>33</v>
      </c>
      <c r="V698" t="inlineStr">
        <is>
          <t>2007-04-19</t>
        </is>
      </c>
      <c r="W698" t="inlineStr">
        <is>
          <t>1994-06-02</t>
        </is>
      </c>
      <c r="X698" t="inlineStr">
        <is>
          <t>1994-06-02</t>
        </is>
      </c>
      <c r="Y698" t="n">
        <v>425</v>
      </c>
      <c r="Z698" t="n">
        <v>294</v>
      </c>
      <c r="AA698" t="n">
        <v>418</v>
      </c>
      <c r="AB698" t="n">
        <v>3</v>
      </c>
      <c r="AC698" t="n">
        <v>3</v>
      </c>
      <c r="AD698" t="n">
        <v>15</v>
      </c>
      <c r="AE698" t="n">
        <v>18</v>
      </c>
      <c r="AF698" t="n">
        <v>4</v>
      </c>
      <c r="AG698" t="n">
        <v>6</v>
      </c>
      <c r="AH698" t="n">
        <v>5</v>
      </c>
      <c r="AI698" t="n">
        <v>5</v>
      </c>
      <c r="AJ698" t="n">
        <v>8</v>
      </c>
      <c r="AK698" t="n">
        <v>9</v>
      </c>
      <c r="AL698" t="n">
        <v>2</v>
      </c>
      <c r="AM698" t="n">
        <v>2</v>
      </c>
      <c r="AN698" t="n">
        <v>0</v>
      </c>
      <c r="AO698" t="n">
        <v>0</v>
      </c>
      <c r="AP698" t="inlineStr">
        <is>
          <t>No</t>
        </is>
      </c>
      <c r="AQ698" t="inlineStr">
        <is>
          <t>Yes</t>
        </is>
      </c>
      <c r="AR698">
        <f>HYPERLINK("http://catalog.hathitrust.org/Record/002499047","HathiTrust Record")</f>
        <v/>
      </c>
      <c r="AS698">
        <f>HYPERLINK("https://creighton-primo.hosted.exlibrisgroup.com/primo-explore/search?tab=default_tab&amp;search_scope=EVERYTHING&amp;vid=01CRU&amp;lang=en_US&amp;offset=0&amp;query=any,contains,991001823719702656","Catalog Record")</f>
        <v/>
      </c>
      <c r="AT698">
        <f>HYPERLINK("http://www.worldcat.org/oclc/22908940","WorldCat Record")</f>
        <v/>
      </c>
      <c r="AU698" t="inlineStr">
        <is>
          <t>4926788691:eng</t>
        </is>
      </c>
      <c r="AV698" t="inlineStr">
        <is>
          <t>22908940</t>
        </is>
      </c>
      <c r="AW698" t="inlineStr">
        <is>
          <t>991001823719702656</t>
        </is>
      </c>
      <c r="AX698" t="inlineStr">
        <is>
          <t>991001823719702656</t>
        </is>
      </c>
      <c r="AY698" t="inlineStr">
        <is>
          <t>2263613750002656</t>
        </is>
      </c>
      <c r="AZ698" t="inlineStr">
        <is>
          <t>BOOK</t>
        </is>
      </c>
      <c r="BB698" t="inlineStr">
        <is>
          <t>9780080359298</t>
        </is>
      </c>
      <c r="BC698" t="inlineStr">
        <is>
          <t>32285001925725</t>
        </is>
      </c>
      <c r="BD698" t="inlineStr">
        <is>
          <t>893316093</t>
        </is>
      </c>
    </row>
    <row r="699">
      <c r="A699" t="inlineStr">
        <is>
          <t>No</t>
        </is>
      </c>
      <c r="B699" t="inlineStr">
        <is>
          <t>QD262 .C535 1991</t>
        </is>
      </c>
      <c r="C699" t="inlineStr">
        <is>
          <t>0                      QD 0262000C  535         1991</t>
        </is>
      </c>
      <c r="D699" t="inlineStr">
        <is>
          <t>Comprehensive organic synthesis : selectivity, strategy, &amp; efficiency in modern organic chemistry / editor-in-chief, Barry M. Trost ; deputy editor-in-chief, Ian Fleming.</t>
        </is>
      </c>
      <c r="E699" t="inlineStr">
        <is>
          <t>V.4</t>
        </is>
      </c>
      <c r="F699" t="inlineStr">
        <is>
          <t>Yes</t>
        </is>
      </c>
      <c r="G699" t="inlineStr">
        <is>
          <t>1</t>
        </is>
      </c>
      <c r="H699" t="inlineStr">
        <is>
          <t>No</t>
        </is>
      </c>
      <c r="I699" t="inlineStr">
        <is>
          <t>No</t>
        </is>
      </c>
      <c r="J699" t="inlineStr">
        <is>
          <t>0</t>
        </is>
      </c>
      <c r="L699" t="inlineStr">
        <is>
          <t>Oxford, England ; New York : Pergamon Press, 1991.</t>
        </is>
      </c>
      <c r="M699" t="inlineStr">
        <is>
          <t>1991</t>
        </is>
      </c>
      <c r="N699" t="inlineStr">
        <is>
          <t>1st ed.</t>
        </is>
      </c>
      <c r="O699" t="inlineStr">
        <is>
          <t>eng</t>
        </is>
      </c>
      <c r="P699" t="inlineStr">
        <is>
          <t>enk</t>
        </is>
      </c>
      <c r="R699" t="inlineStr">
        <is>
          <t xml:space="preserve">QD </t>
        </is>
      </c>
      <c r="S699" t="n">
        <v>6</v>
      </c>
      <c r="T699" t="n">
        <v>33</v>
      </c>
      <c r="U699" t="inlineStr">
        <is>
          <t>2007-04-19</t>
        </is>
      </c>
      <c r="V699" t="inlineStr">
        <is>
          <t>2007-04-19</t>
        </is>
      </c>
      <c r="W699" t="inlineStr">
        <is>
          <t>1994-06-02</t>
        </is>
      </c>
      <c r="X699" t="inlineStr">
        <is>
          <t>1994-06-02</t>
        </is>
      </c>
      <c r="Y699" t="n">
        <v>425</v>
      </c>
      <c r="Z699" t="n">
        <v>294</v>
      </c>
      <c r="AA699" t="n">
        <v>418</v>
      </c>
      <c r="AB699" t="n">
        <v>3</v>
      </c>
      <c r="AC699" t="n">
        <v>3</v>
      </c>
      <c r="AD699" t="n">
        <v>15</v>
      </c>
      <c r="AE699" t="n">
        <v>18</v>
      </c>
      <c r="AF699" t="n">
        <v>4</v>
      </c>
      <c r="AG699" t="n">
        <v>6</v>
      </c>
      <c r="AH699" t="n">
        <v>5</v>
      </c>
      <c r="AI699" t="n">
        <v>5</v>
      </c>
      <c r="AJ699" t="n">
        <v>8</v>
      </c>
      <c r="AK699" t="n">
        <v>9</v>
      </c>
      <c r="AL699" t="n">
        <v>2</v>
      </c>
      <c r="AM699" t="n">
        <v>2</v>
      </c>
      <c r="AN699" t="n">
        <v>0</v>
      </c>
      <c r="AO699" t="n">
        <v>0</v>
      </c>
      <c r="AP699" t="inlineStr">
        <is>
          <t>No</t>
        </is>
      </c>
      <c r="AQ699" t="inlineStr">
        <is>
          <t>Yes</t>
        </is>
      </c>
      <c r="AR699">
        <f>HYPERLINK("http://catalog.hathitrust.org/Record/002499047","HathiTrust Record")</f>
        <v/>
      </c>
      <c r="AS699">
        <f>HYPERLINK("https://creighton-primo.hosted.exlibrisgroup.com/primo-explore/search?tab=default_tab&amp;search_scope=EVERYTHING&amp;vid=01CRU&amp;lang=en_US&amp;offset=0&amp;query=any,contains,991001823719702656","Catalog Record")</f>
        <v/>
      </c>
      <c r="AT699">
        <f>HYPERLINK("http://www.worldcat.org/oclc/22908940","WorldCat Record")</f>
        <v/>
      </c>
      <c r="AU699" t="inlineStr">
        <is>
          <t>4926788691:eng</t>
        </is>
      </c>
      <c r="AV699" t="inlineStr">
        <is>
          <t>22908940</t>
        </is>
      </c>
      <c r="AW699" t="inlineStr">
        <is>
          <t>991001823719702656</t>
        </is>
      </c>
      <c r="AX699" t="inlineStr">
        <is>
          <t>991001823719702656</t>
        </is>
      </c>
      <c r="AY699" t="inlineStr">
        <is>
          <t>2263613750002656</t>
        </is>
      </c>
      <c r="AZ699" t="inlineStr">
        <is>
          <t>BOOK</t>
        </is>
      </c>
      <c r="BB699" t="inlineStr">
        <is>
          <t>9780080359298</t>
        </is>
      </c>
      <c r="BC699" t="inlineStr">
        <is>
          <t>32285001925741</t>
        </is>
      </c>
      <c r="BD699" t="inlineStr">
        <is>
          <t>893334637</t>
        </is>
      </c>
    </row>
    <row r="700">
      <c r="A700" t="inlineStr">
        <is>
          <t>No</t>
        </is>
      </c>
      <c r="B700" t="inlineStr">
        <is>
          <t>QD262 .C535 1991</t>
        </is>
      </c>
      <c r="C700" t="inlineStr">
        <is>
          <t>0                      QD 0262000C  535         1991</t>
        </is>
      </c>
      <c r="D700" t="inlineStr">
        <is>
          <t>Comprehensive organic synthesis : selectivity, strategy, &amp; efficiency in modern organic chemistry / editor-in-chief, Barry M. Trost ; deputy editor-in-chief, Ian Fleming.</t>
        </is>
      </c>
      <c r="E700" t="inlineStr">
        <is>
          <t>V.5</t>
        </is>
      </c>
      <c r="F700" t="inlineStr">
        <is>
          <t>Yes</t>
        </is>
      </c>
      <c r="G700" t="inlineStr">
        <is>
          <t>1</t>
        </is>
      </c>
      <c r="H700" t="inlineStr">
        <is>
          <t>No</t>
        </is>
      </c>
      <c r="I700" t="inlineStr">
        <is>
          <t>No</t>
        </is>
      </c>
      <c r="J700" t="inlineStr">
        <is>
          <t>0</t>
        </is>
      </c>
      <c r="L700" t="inlineStr">
        <is>
          <t>Oxford, England ; New York : Pergamon Press, 1991.</t>
        </is>
      </c>
      <c r="M700" t="inlineStr">
        <is>
          <t>1991</t>
        </is>
      </c>
      <c r="N700" t="inlineStr">
        <is>
          <t>1st ed.</t>
        </is>
      </c>
      <c r="O700" t="inlineStr">
        <is>
          <t>eng</t>
        </is>
      </c>
      <c r="P700" t="inlineStr">
        <is>
          <t>enk</t>
        </is>
      </c>
      <c r="R700" t="inlineStr">
        <is>
          <t xml:space="preserve">QD </t>
        </is>
      </c>
      <c r="S700" t="n">
        <v>5</v>
      </c>
      <c r="T700" t="n">
        <v>33</v>
      </c>
      <c r="U700" t="inlineStr">
        <is>
          <t>1996-10-16</t>
        </is>
      </c>
      <c r="V700" t="inlineStr">
        <is>
          <t>2007-04-19</t>
        </is>
      </c>
      <c r="W700" t="inlineStr">
        <is>
          <t>1994-06-02</t>
        </is>
      </c>
      <c r="X700" t="inlineStr">
        <is>
          <t>1994-06-02</t>
        </is>
      </c>
      <c r="Y700" t="n">
        <v>425</v>
      </c>
      <c r="Z700" t="n">
        <v>294</v>
      </c>
      <c r="AA700" t="n">
        <v>418</v>
      </c>
      <c r="AB700" t="n">
        <v>3</v>
      </c>
      <c r="AC700" t="n">
        <v>3</v>
      </c>
      <c r="AD700" t="n">
        <v>15</v>
      </c>
      <c r="AE700" t="n">
        <v>18</v>
      </c>
      <c r="AF700" t="n">
        <v>4</v>
      </c>
      <c r="AG700" t="n">
        <v>6</v>
      </c>
      <c r="AH700" t="n">
        <v>5</v>
      </c>
      <c r="AI700" t="n">
        <v>5</v>
      </c>
      <c r="AJ700" t="n">
        <v>8</v>
      </c>
      <c r="AK700" t="n">
        <v>9</v>
      </c>
      <c r="AL700" t="n">
        <v>2</v>
      </c>
      <c r="AM700" t="n">
        <v>2</v>
      </c>
      <c r="AN700" t="n">
        <v>0</v>
      </c>
      <c r="AO700" t="n">
        <v>0</v>
      </c>
      <c r="AP700" t="inlineStr">
        <is>
          <t>No</t>
        </is>
      </c>
      <c r="AQ700" t="inlineStr">
        <is>
          <t>Yes</t>
        </is>
      </c>
      <c r="AR700">
        <f>HYPERLINK("http://catalog.hathitrust.org/Record/002499047","HathiTrust Record")</f>
        <v/>
      </c>
      <c r="AS700">
        <f>HYPERLINK("https://creighton-primo.hosted.exlibrisgroup.com/primo-explore/search?tab=default_tab&amp;search_scope=EVERYTHING&amp;vid=01CRU&amp;lang=en_US&amp;offset=0&amp;query=any,contains,991001823719702656","Catalog Record")</f>
        <v/>
      </c>
      <c r="AT700">
        <f>HYPERLINK("http://www.worldcat.org/oclc/22908940","WorldCat Record")</f>
        <v/>
      </c>
      <c r="AU700" t="inlineStr">
        <is>
          <t>4926788691:eng</t>
        </is>
      </c>
      <c r="AV700" t="inlineStr">
        <is>
          <t>22908940</t>
        </is>
      </c>
      <c r="AW700" t="inlineStr">
        <is>
          <t>991001823719702656</t>
        </is>
      </c>
      <c r="AX700" t="inlineStr">
        <is>
          <t>991001823719702656</t>
        </is>
      </c>
      <c r="AY700" t="inlineStr">
        <is>
          <t>2263613750002656</t>
        </is>
      </c>
      <c r="AZ700" t="inlineStr">
        <is>
          <t>BOOK</t>
        </is>
      </c>
      <c r="BB700" t="inlineStr">
        <is>
          <t>9780080359298</t>
        </is>
      </c>
      <c r="BC700" t="inlineStr">
        <is>
          <t>32285001925758</t>
        </is>
      </c>
      <c r="BD700" t="inlineStr">
        <is>
          <t>893346817</t>
        </is>
      </c>
    </row>
    <row r="701">
      <c r="A701" t="inlineStr">
        <is>
          <t>No</t>
        </is>
      </c>
      <c r="B701" t="inlineStr">
        <is>
          <t>QD262 .C535 1991</t>
        </is>
      </c>
      <c r="C701" t="inlineStr">
        <is>
          <t>0                      QD 0262000C  535         1991</t>
        </is>
      </c>
      <c r="D701" t="inlineStr">
        <is>
          <t>Comprehensive organic synthesis : selectivity, strategy, &amp; efficiency in modern organic chemistry / editor-in-chief, Barry M. Trost ; deputy editor-in-chief, Ian Fleming.</t>
        </is>
      </c>
      <c r="E701" t="inlineStr">
        <is>
          <t>V.1</t>
        </is>
      </c>
      <c r="F701" t="inlineStr">
        <is>
          <t>Yes</t>
        </is>
      </c>
      <c r="G701" t="inlineStr">
        <is>
          <t>1</t>
        </is>
      </c>
      <c r="H701" t="inlineStr">
        <is>
          <t>No</t>
        </is>
      </c>
      <c r="I701" t="inlineStr">
        <is>
          <t>No</t>
        </is>
      </c>
      <c r="J701" t="inlineStr">
        <is>
          <t>0</t>
        </is>
      </c>
      <c r="L701" t="inlineStr">
        <is>
          <t>Oxford, England ; New York : Pergamon Press, 1991.</t>
        </is>
      </c>
      <c r="M701" t="inlineStr">
        <is>
          <t>1991</t>
        </is>
      </c>
      <c r="N701" t="inlineStr">
        <is>
          <t>1st ed.</t>
        </is>
      </c>
      <c r="O701" t="inlineStr">
        <is>
          <t>eng</t>
        </is>
      </c>
      <c r="P701" t="inlineStr">
        <is>
          <t>enk</t>
        </is>
      </c>
      <c r="R701" t="inlineStr">
        <is>
          <t xml:space="preserve">QD </t>
        </is>
      </c>
      <c r="S701" t="n">
        <v>1</v>
      </c>
      <c r="T701" t="n">
        <v>33</v>
      </c>
      <c r="V701" t="inlineStr">
        <is>
          <t>2007-04-19</t>
        </is>
      </c>
      <c r="W701" t="inlineStr">
        <is>
          <t>1994-06-02</t>
        </is>
      </c>
      <c r="X701" t="inlineStr">
        <is>
          <t>1994-06-02</t>
        </is>
      </c>
      <c r="Y701" t="n">
        <v>425</v>
      </c>
      <c r="Z701" t="n">
        <v>294</v>
      </c>
      <c r="AA701" t="n">
        <v>418</v>
      </c>
      <c r="AB701" t="n">
        <v>3</v>
      </c>
      <c r="AC701" t="n">
        <v>3</v>
      </c>
      <c r="AD701" t="n">
        <v>15</v>
      </c>
      <c r="AE701" t="n">
        <v>18</v>
      </c>
      <c r="AF701" t="n">
        <v>4</v>
      </c>
      <c r="AG701" t="n">
        <v>6</v>
      </c>
      <c r="AH701" t="n">
        <v>5</v>
      </c>
      <c r="AI701" t="n">
        <v>5</v>
      </c>
      <c r="AJ701" t="n">
        <v>8</v>
      </c>
      <c r="AK701" t="n">
        <v>9</v>
      </c>
      <c r="AL701" t="n">
        <v>2</v>
      </c>
      <c r="AM701" t="n">
        <v>2</v>
      </c>
      <c r="AN701" t="n">
        <v>0</v>
      </c>
      <c r="AO701" t="n">
        <v>0</v>
      </c>
      <c r="AP701" t="inlineStr">
        <is>
          <t>No</t>
        </is>
      </c>
      <c r="AQ701" t="inlineStr">
        <is>
          <t>Yes</t>
        </is>
      </c>
      <c r="AR701">
        <f>HYPERLINK("http://catalog.hathitrust.org/Record/002499047","HathiTrust Record")</f>
        <v/>
      </c>
      <c r="AS701">
        <f>HYPERLINK("https://creighton-primo.hosted.exlibrisgroup.com/primo-explore/search?tab=default_tab&amp;search_scope=EVERYTHING&amp;vid=01CRU&amp;lang=en_US&amp;offset=0&amp;query=any,contains,991001823719702656","Catalog Record")</f>
        <v/>
      </c>
      <c r="AT701">
        <f>HYPERLINK("http://www.worldcat.org/oclc/22908940","WorldCat Record")</f>
        <v/>
      </c>
      <c r="AU701" t="inlineStr">
        <is>
          <t>4926788691:eng</t>
        </is>
      </c>
      <c r="AV701" t="inlineStr">
        <is>
          <t>22908940</t>
        </is>
      </c>
      <c r="AW701" t="inlineStr">
        <is>
          <t>991001823719702656</t>
        </is>
      </c>
      <c r="AX701" t="inlineStr">
        <is>
          <t>991001823719702656</t>
        </is>
      </c>
      <c r="AY701" t="inlineStr">
        <is>
          <t>2263613750002656</t>
        </is>
      </c>
      <c r="AZ701" t="inlineStr">
        <is>
          <t>BOOK</t>
        </is>
      </c>
      <c r="BB701" t="inlineStr">
        <is>
          <t>9780080359298</t>
        </is>
      </c>
      <c r="BC701" t="inlineStr">
        <is>
          <t>32285001925717</t>
        </is>
      </c>
      <c r="BD701" t="inlineStr">
        <is>
          <t>893346818</t>
        </is>
      </c>
    </row>
    <row r="702">
      <c r="A702" t="inlineStr">
        <is>
          <t>No</t>
        </is>
      </c>
      <c r="B702" t="inlineStr">
        <is>
          <t>QD262 .C577 1989</t>
        </is>
      </c>
      <c r="C702" t="inlineStr">
        <is>
          <t>0                      QD 0262000C  577         1989</t>
        </is>
      </c>
      <c r="D702" t="inlineStr">
        <is>
          <t>The logic of chemical synthesis / E.J. Corey and Xue-Min Cheng.</t>
        </is>
      </c>
      <c r="F702" t="inlineStr">
        <is>
          <t>No</t>
        </is>
      </c>
      <c r="G702" t="inlineStr">
        <is>
          <t>1</t>
        </is>
      </c>
      <c r="H702" t="inlineStr">
        <is>
          <t>No</t>
        </is>
      </c>
      <c r="I702" t="inlineStr">
        <is>
          <t>No</t>
        </is>
      </c>
      <c r="J702" t="inlineStr">
        <is>
          <t>0</t>
        </is>
      </c>
      <c r="K702" t="inlineStr">
        <is>
          <t>Corey, E. J.</t>
        </is>
      </c>
      <c r="L702" t="inlineStr">
        <is>
          <t>New York : Wiley, c1989.</t>
        </is>
      </c>
      <c r="M702" t="inlineStr">
        <is>
          <t>1989</t>
        </is>
      </c>
      <c r="O702" t="inlineStr">
        <is>
          <t>eng</t>
        </is>
      </c>
      <c r="P702" t="inlineStr">
        <is>
          <t>nyu</t>
        </is>
      </c>
      <c r="R702" t="inlineStr">
        <is>
          <t xml:space="preserve">QD </t>
        </is>
      </c>
      <c r="S702" t="n">
        <v>5</v>
      </c>
      <c r="T702" t="n">
        <v>5</v>
      </c>
      <c r="U702" t="inlineStr">
        <is>
          <t>1995-01-20</t>
        </is>
      </c>
      <c r="V702" t="inlineStr">
        <is>
          <t>1995-01-20</t>
        </is>
      </c>
      <c r="W702" t="inlineStr">
        <is>
          <t>1990-05-08</t>
        </is>
      </c>
      <c r="X702" t="inlineStr">
        <is>
          <t>1990-05-08</t>
        </is>
      </c>
      <c r="Y702" t="n">
        <v>855</v>
      </c>
      <c r="Z702" t="n">
        <v>633</v>
      </c>
      <c r="AA702" t="n">
        <v>1043</v>
      </c>
      <c r="AB702" t="n">
        <v>6</v>
      </c>
      <c r="AC702" t="n">
        <v>8</v>
      </c>
      <c r="AD702" t="n">
        <v>31</v>
      </c>
      <c r="AE702" t="n">
        <v>39</v>
      </c>
      <c r="AF702" t="n">
        <v>10</v>
      </c>
      <c r="AG702" t="n">
        <v>14</v>
      </c>
      <c r="AH702" t="n">
        <v>9</v>
      </c>
      <c r="AI702" t="n">
        <v>10</v>
      </c>
      <c r="AJ702" t="n">
        <v>16</v>
      </c>
      <c r="AK702" t="n">
        <v>18</v>
      </c>
      <c r="AL702" t="n">
        <v>5</v>
      </c>
      <c r="AM702" t="n">
        <v>7</v>
      </c>
      <c r="AN702" t="n">
        <v>0</v>
      </c>
      <c r="AO702" t="n">
        <v>0</v>
      </c>
      <c r="AP702" t="inlineStr">
        <is>
          <t>No</t>
        </is>
      </c>
      <c r="AQ702" t="inlineStr">
        <is>
          <t>Yes</t>
        </is>
      </c>
      <c r="AR702">
        <f>HYPERLINK("http://catalog.hathitrust.org/Record/004482295","HathiTrust Record")</f>
        <v/>
      </c>
      <c r="AS702">
        <f>HYPERLINK("https://creighton-primo.hosted.exlibrisgroup.com/primo-explore/search?tab=default_tab&amp;search_scope=EVERYTHING&amp;vid=01CRU&amp;lang=en_US&amp;offset=0&amp;query=any,contains,991001470239702656","Catalog Record")</f>
        <v/>
      </c>
      <c r="AT702">
        <f>HYPERLINK("http://www.worldcat.org/oclc/22191111","WorldCat Record")</f>
        <v/>
      </c>
      <c r="AU702" t="inlineStr">
        <is>
          <t>19925485:eng</t>
        </is>
      </c>
      <c r="AV702" t="inlineStr">
        <is>
          <t>22191111</t>
        </is>
      </c>
      <c r="AW702" t="inlineStr">
        <is>
          <t>991001470239702656</t>
        </is>
      </c>
      <c r="AX702" t="inlineStr">
        <is>
          <t>991001470239702656</t>
        </is>
      </c>
      <c r="AY702" t="inlineStr">
        <is>
          <t>2256252690002656</t>
        </is>
      </c>
      <c r="AZ702" t="inlineStr">
        <is>
          <t>BOOK</t>
        </is>
      </c>
      <c r="BB702" t="inlineStr">
        <is>
          <t>9780471509790</t>
        </is>
      </c>
      <c r="BC702" t="inlineStr">
        <is>
          <t>32285000135631</t>
        </is>
      </c>
      <c r="BD702" t="inlineStr">
        <is>
          <t>893602622</t>
        </is>
      </c>
    </row>
    <row r="703">
      <c r="A703" t="inlineStr">
        <is>
          <t>No</t>
        </is>
      </c>
      <c r="B703" t="inlineStr">
        <is>
          <t>QD262 .F5 v...</t>
        </is>
      </c>
      <c r="C703" t="inlineStr">
        <is>
          <t>0                      QD 0262000F  5                                                       v...</t>
        </is>
      </c>
      <c r="D703" t="inlineStr">
        <is>
          <t>Reagents for organic synthesis / [by] Louis F. Fieser [and] Mary Fieser.</t>
        </is>
      </c>
      <c r="E703" t="inlineStr">
        <is>
          <t>V. 15</t>
        </is>
      </c>
      <c r="F703" t="inlineStr">
        <is>
          <t>Yes</t>
        </is>
      </c>
      <c r="G703" t="inlineStr">
        <is>
          <t>1</t>
        </is>
      </c>
      <c r="H703" t="inlineStr">
        <is>
          <t>No</t>
        </is>
      </c>
      <c r="I703" t="inlineStr">
        <is>
          <t>No</t>
        </is>
      </c>
      <c r="J703" t="inlineStr">
        <is>
          <t>0</t>
        </is>
      </c>
      <c r="K703" t="inlineStr">
        <is>
          <t>Fieser, Louis F. (Louis Frederick), 1899-1977.</t>
        </is>
      </c>
      <c r="L703" t="inlineStr">
        <is>
          <t>New York : Wiley, 1967-</t>
        </is>
      </c>
      <c r="M703" t="inlineStr">
        <is>
          <t>1967</t>
        </is>
      </c>
      <c r="O703" t="inlineStr">
        <is>
          <t>eng</t>
        </is>
      </c>
      <c r="P703" t="inlineStr">
        <is>
          <t>nyu</t>
        </is>
      </c>
      <c r="R703" t="inlineStr">
        <is>
          <t xml:space="preserve">QD </t>
        </is>
      </c>
      <c r="S703" t="n">
        <v>2</v>
      </c>
      <c r="T703" t="n">
        <v>13</v>
      </c>
      <c r="U703" t="inlineStr">
        <is>
          <t>1996-12-18</t>
        </is>
      </c>
      <c r="V703" t="inlineStr">
        <is>
          <t>2005-05-04</t>
        </is>
      </c>
      <c r="W703" t="inlineStr">
        <is>
          <t>1994-12-14</t>
        </is>
      </c>
      <c r="X703" t="inlineStr">
        <is>
          <t>1999-09-22</t>
        </is>
      </c>
      <c r="Y703" t="n">
        <v>1035</v>
      </c>
      <c r="Z703" t="n">
        <v>852</v>
      </c>
      <c r="AA703" t="n">
        <v>860</v>
      </c>
      <c r="AB703" t="n">
        <v>6</v>
      </c>
      <c r="AC703" t="n">
        <v>6</v>
      </c>
      <c r="AD703" t="n">
        <v>27</v>
      </c>
      <c r="AE703" t="n">
        <v>27</v>
      </c>
      <c r="AF703" t="n">
        <v>11</v>
      </c>
      <c r="AG703" t="n">
        <v>11</v>
      </c>
      <c r="AH703" t="n">
        <v>3</v>
      </c>
      <c r="AI703" t="n">
        <v>3</v>
      </c>
      <c r="AJ703" t="n">
        <v>12</v>
      </c>
      <c r="AK703" t="n">
        <v>12</v>
      </c>
      <c r="AL703" t="n">
        <v>5</v>
      </c>
      <c r="AM703" t="n">
        <v>5</v>
      </c>
      <c r="AN703" t="n">
        <v>0</v>
      </c>
      <c r="AO703" t="n">
        <v>0</v>
      </c>
      <c r="AP703" t="inlineStr">
        <is>
          <t>No</t>
        </is>
      </c>
      <c r="AQ703" t="inlineStr">
        <is>
          <t>Yes</t>
        </is>
      </c>
      <c r="AR703">
        <f>HYPERLINK("http://catalog.hathitrust.org/Record/000315057","HathiTrust Record")</f>
        <v/>
      </c>
      <c r="AS703">
        <f>HYPERLINK("https://creighton-primo.hosted.exlibrisgroup.com/primo-explore/search?tab=default_tab&amp;search_scope=EVERYTHING&amp;vid=01CRU&amp;lang=en_US&amp;offset=0&amp;query=any,contains,991002279139702656","Catalog Record")</f>
        <v/>
      </c>
      <c r="AT703">
        <f>HYPERLINK("http://www.worldcat.org/oclc/310707","WorldCat Record")</f>
        <v/>
      </c>
      <c r="AU703" t="inlineStr">
        <is>
          <t>4020961096:eng</t>
        </is>
      </c>
      <c r="AV703" t="inlineStr">
        <is>
          <t>310707</t>
        </is>
      </c>
      <c r="AW703" t="inlineStr">
        <is>
          <t>991002279139702656</t>
        </is>
      </c>
      <c r="AX703" t="inlineStr">
        <is>
          <t>991002279139702656</t>
        </is>
      </c>
      <c r="AY703" t="inlineStr">
        <is>
          <t>2259621970002656</t>
        </is>
      </c>
      <c r="AZ703" t="inlineStr">
        <is>
          <t>BOOK</t>
        </is>
      </c>
      <c r="BB703" t="inlineStr">
        <is>
          <t>9780471258766</t>
        </is>
      </c>
      <c r="BC703" t="inlineStr">
        <is>
          <t>32285001983302</t>
        </is>
      </c>
      <c r="BD703" t="inlineStr">
        <is>
          <t>893408912</t>
        </is>
      </c>
    </row>
    <row r="704">
      <c r="A704" t="inlineStr">
        <is>
          <t>No</t>
        </is>
      </c>
      <c r="B704" t="inlineStr">
        <is>
          <t>QD262 .F5 v...</t>
        </is>
      </c>
      <c r="C704" t="inlineStr">
        <is>
          <t>0                      QD 0262000F  5                                                       v...</t>
        </is>
      </c>
      <c r="D704" t="inlineStr">
        <is>
          <t>Reagents for organic synthesis / [by] Louis F. Fieser [and] Mary Fieser.</t>
        </is>
      </c>
      <c r="E704" t="inlineStr">
        <is>
          <t>V. 14</t>
        </is>
      </c>
      <c r="F704" t="inlineStr">
        <is>
          <t>Yes</t>
        </is>
      </c>
      <c r="G704" t="inlineStr">
        <is>
          <t>1</t>
        </is>
      </c>
      <c r="H704" t="inlineStr">
        <is>
          <t>No</t>
        </is>
      </c>
      <c r="I704" t="inlineStr">
        <is>
          <t>No</t>
        </is>
      </c>
      <c r="J704" t="inlineStr">
        <is>
          <t>0</t>
        </is>
      </c>
      <c r="K704" t="inlineStr">
        <is>
          <t>Fieser, Louis F. (Louis Frederick), 1899-1977.</t>
        </is>
      </c>
      <c r="L704" t="inlineStr">
        <is>
          <t>New York : Wiley, 1967-</t>
        </is>
      </c>
      <c r="M704" t="inlineStr">
        <is>
          <t>1967</t>
        </is>
      </c>
      <c r="O704" t="inlineStr">
        <is>
          <t>eng</t>
        </is>
      </c>
      <c r="P704" t="inlineStr">
        <is>
          <t>nyu</t>
        </is>
      </c>
      <c r="R704" t="inlineStr">
        <is>
          <t xml:space="preserve">QD </t>
        </is>
      </c>
      <c r="S704" t="n">
        <v>2</v>
      </c>
      <c r="T704" t="n">
        <v>13</v>
      </c>
      <c r="U704" t="inlineStr">
        <is>
          <t>1996-12-18</t>
        </is>
      </c>
      <c r="V704" t="inlineStr">
        <is>
          <t>2005-05-04</t>
        </is>
      </c>
      <c r="W704" t="inlineStr">
        <is>
          <t>1994-12-14</t>
        </is>
      </c>
      <c r="X704" t="inlineStr">
        <is>
          <t>1999-09-22</t>
        </is>
      </c>
      <c r="Y704" t="n">
        <v>1035</v>
      </c>
      <c r="Z704" t="n">
        <v>852</v>
      </c>
      <c r="AA704" t="n">
        <v>860</v>
      </c>
      <c r="AB704" t="n">
        <v>6</v>
      </c>
      <c r="AC704" t="n">
        <v>6</v>
      </c>
      <c r="AD704" t="n">
        <v>27</v>
      </c>
      <c r="AE704" t="n">
        <v>27</v>
      </c>
      <c r="AF704" t="n">
        <v>11</v>
      </c>
      <c r="AG704" t="n">
        <v>11</v>
      </c>
      <c r="AH704" t="n">
        <v>3</v>
      </c>
      <c r="AI704" t="n">
        <v>3</v>
      </c>
      <c r="AJ704" t="n">
        <v>12</v>
      </c>
      <c r="AK704" t="n">
        <v>12</v>
      </c>
      <c r="AL704" t="n">
        <v>5</v>
      </c>
      <c r="AM704" t="n">
        <v>5</v>
      </c>
      <c r="AN704" t="n">
        <v>0</v>
      </c>
      <c r="AO704" t="n">
        <v>0</v>
      </c>
      <c r="AP704" t="inlineStr">
        <is>
          <t>No</t>
        </is>
      </c>
      <c r="AQ704" t="inlineStr">
        <is>
          <t>Yes</t>
        </is>
      </c>
      <c r="AR704">
        <f>HYPERLINK("http://catalog.hathitrust.org/Record/000315057","HathiTrust Record")</f>
        <v/>
      </c>
      <c r="AS704">
        <f>HYPERLINK("https://creighton-primo.hosted.exlibrisgroup.com/primo-explore/search?tab=default_tab&amp;search_scope=EVERYTHING&amp;vid=01CRU&amp;lang=en_US&amp;offset=0&amp;query=any,contains,991002279139702656","Catalog Record")</f>
        <v/>
      </c>
      <c r="AT704">
        <f>HYPERLINK("http://www.worldcat.org/oclc/310707","WorldCat Record")</f>
        <v/>
      </c>
      <c r="AU704" t="inlineStr">
        <is>
          <t>4020961096:eng</t>
        </is>
      </c>
      <c r="AV704" t="inlineStr">
        <is>
          <t>310707</t>
        </is>
      </c>
      <c r="AW704" t="inlineStr">
        <is>
          <t>991002279139702656</t>
        </is>
      </c>
      <c r="AX704" t="inlineStr">
        <is>
          <t>991002279139702656</t>
        </is>
      </c>
      <c r="AY704" t="inlineStr">
        <is>
          <t>2259621970002656</t>
        </is>
      </c>
      <c r="AZ704" t="inlineStr">
        <is>
          <t>BOOK</t>
        </is>
      </c>
      <c r="BB704" t="inlineStr">
        <is>
          <t>9780471258766</t>
        </is>
      </c>
      <c r="BC704" t="inlineStr">
        <is>
          <t>32285001983310</t>
        </is>
      </c>
      <c r="BD704" t="inlineStr">
        <is>
          <t>893421159</t>
        </is>
      </c>
    </row>
    <row r="705">
      <c r="A705" t="inlineStr">
        <is>
          <t>No</t>
        </is>
      </c>
      <c r="B705" t="inlineStr">
        <is>
          <t>QD262 .F5 v...</t>
        </is>
      </c>
      <c r="C705" t="inlineStr">
        <is>
          <t>0                      QD 0262000F  5                                                       v...</t>
        </is>
      </c>
      <c r="D705" t="inlineStr">
        <is>
          <t>Reagents for organic synthesis / [by] Louis F. Fieser [and] Mary Fieser.</t>
        </is>
      </c>
      <c r="E705" t="inlineStr">
        <is>
          <t>V. 1</t>
        </is>
      </c>
      <c r="F705" t="inlineStr">
        <is>
          <t>Yes</t>
        </is>
      </c>
      <c r="G705" t="inlineStr">
        <is>
          <t>1</t>
        </is>
      </c>
      <c r="H705" t="inlineStr">
        <is>
          <t>No</t>
        </is>
      </c>
      <c r="I705" t="inlineStr">
        <is>
          <t>No</t>
        </is>
      </c>
      <c r="J705" t="inlineStr">
        <is>
          <t>0</t>
        </is>
      </c>
      <c r="K705" t="inlineStr">
        <is>
          <t>Fieser, Louis F. (Louis Frederick), 1899-1977.</t>
        </is>
      </c>
      <c r="L705" t="inlineStr">
        <is>
          <t>New York : Wiley, 1967-</t>
        </is>
      </c>
      <c r="M705" t="inlineStr">
        <is>
          <t>1967</t>
        </is>
      </c>
      <c r="O705" t="inlineStr">
        <is>
          <t>eng</t>
        </is>
      </c>
      <c r="P705" t="inlineStr">
        <is>
          <t>nyu</t>
        </is>
      </c>
      <c r="R705" t="inlineStr">
        <is>
          <t xml:space="preserve">QD </t>
        </is>
      </c>
      <c r="S705" t="n">
        <v>3</v>
      </c>
      <c r="T705" t="n">
        <v>13</v>
      </c>
      <c r="U705" t="inlineStr">
        <is>
          <t>2005-05-04</t>
        </is>
      </c>
      <c r="V705" t="inlineStr">
        <is>
          <t>2005-05-04</t>
        </is>
      </c>
      <c r="W705" t="inlineStr">
        <is>
          <t>1992-09-16</t>
        </is>
      </c>
      <c r="X705" t="inlineStr">
        <is>
          <t>1999-09-22</t>
        </is>
      </c>
      <c r="Y705" t="n">
        <v>1035</v>
      </c>
      <c r="Z705" t="n">
        <v>852</v>
      </c>
      <c r="AA705" t="n">
        <v>860</v>
      </c>
      <c r="AB705" t="n">
        <v>6</v>
      </c>
      <c r="AC705" t="n">
        <v>6</v>
      </c>
      <c r="AD705" t="n">
        <v>27</v>
      </c>
      <c r="AE705" t="n">
        <v>27</v>
      </c>
      <c r="AF705" t="n">
        <v>11</v>
      </c>
      <c r="AG705" t="n">
        <v>11</v>
      </c>
      <c r="AH705" t="n">
        <v>3</v>
      </c>
      <c r="AI705" t="n">
        <v>3</v>
      </c>
      <c r="AJ705" t="n">
        <v>12</v>
      </c>
      <c r="AK705" t="n">
        <v>12</v>
      </c>
      <c r="AL705" t="n">
        <v>5</v>
      </c>
      <c r="AM705" t="n">
        <v>5</v>
      </c>
      <c r="AN705" t="n">
        <v>0</v>
      </c>
      <c r="AO705" t="n">
        <v>0</v>
      </c>
      <c r="AP705" t="inlineStr">
        <is>
          <t>No</t>
        </is>
      </c>
      <c r="AQ705" t="inlineStr">
        <is>
          <t>Yes</t>
        </is>
      </c>
      <c r="AR705">
        <f>HYPERLINK("http://catalog.hathitrust.org/Record/000315057","HathiTrust Record")</f>
        <v/>
      </c>
      <c r="AS705">
        <f>HYPERLINK("https://creighton-primo.hosted.exlibrisgroup.com/primo-explore/search?tab=default_tab&amp;search_scope=EVERYTHING&amp;vid=01CRU&amp;lang=en_US&amp;offset=0&amp;query=any,contains,991002279139702656","Catalog Record")</f>
        <v/>
      </c>
      <c r="AT705">
        <f>HYPERLINK("http://www.worldcat.org/oclc/310707","WorldCat Record")</f>
        <v/>
      </c>
      <c r="AU705" t="inlineStr">
        <is>
          <t>4020961096:eng</t>
        </is>
      </c>
      <c r="AV705" t="inlineStr">
        <is>
          <t>310707</t>
        </is>
      </c>
      <c r="AW705" t="inlineStr">
        <is>
          <t>991002279139702656</t>
        </is>
      </c>
      <c r="AX705" t="inlineStr">
        <is>
          <t>991002279139702656</t>
        </is>
      </c>
      <c r="AY705" t="inlineStr">
        <is>
          <t>2259621970002656</t>
        </is>
      </c>
      <c r="AZ705" t="inlineStr">
        <is>
          <t>BOOK</t>
        </is>
      </c>
      <c r="BB705" t="inlineStr">
        <is>
          <t>9780471258766</t>
        </is>
      </c>
      <c r="BC705" t="inlineStr">
        <is>
          <t>32285001314623</t>
        </is>
      </c>
      <c r="BD705" t="inlineStr">
        <is>
          <t>893433707</t>
        </is>
      </c>
    </row>
    <row r="706">
      <c r="A706" t="inlineStr">
        <is>
          <t>No</t>
        </is>
      </c>
      <c r="B706" t="inlineStr">
        <is>
          <t>QD262 .F5 v...</t>
        </is>
      </c>
      <c r="C706" t="inlineStr">
        <is>
          <t>0                      QD 0262000F  5                                                       v...</t>
        </is>
      </c>
      <c r="D706" t="inlineStr">
        <is>
          <t>Reagents for organic synthesis / [by] Louis F. Fieser [and] Mary Fieser.</t>
        </is>
      </c>
      <c r="E706" t="inlineStr">
        <is>
          <t>V. 16</t>
        </is>
      </c>
      <c r="F706" t="inlineStr">
        <is>
          <t>Yes</t>
        </is>
      </c>
      <c r="G706" t="inlineStr">
        <is>
          <t>1</t>
        </is>
      </c>
      <c r="H706" t="inlineStr">
        <is>
          <t>No</t>
        </is>
      </c>
      <c r="I706" t="inlineStr">
        <is>
          <t>No</t>
        </is>
      </c>
      <c r="J706" t="inlineStr">
        <is>
          <t>0</t>
        </is>
      </c>
      <c r="K706" t="inlineStr">
        <is>
          <t>Fieser, Louis F. (Louis Frederick), 1899-1977.</t>
        </is>
      </c>
      <c r="L706" t="inlineStr">
        <is>
          <t>New York : Wiley, 1967-</t>
        </is>
      </c>
      <c r="M706" t="inlineStr">
        <is>
          <t>1967</t>
        </is>
      </c>
      <c r="O706" t="inlineStr">
        <is>
          <t>eng</t>
        </is>
      </c>
      <c r="P706" t="inlineStr">
        <is>
          <t>nyu</t>
        </is>
      </c>
      <c r="R706" t="inlineStr">
        <is>
          <t xml:space="preserve">QD </t>
        </is>
      </c>
      <c r="S706" t="n">
        <v>2</v>
      </c>
      <c r="T706" t="n">
        <v>13</v>
      </c>
      <c r="U706" t="inlineStr">
        <is>
          <t>1996-12-18</t>
        </is>
      </c>
      <c r="V706" t="inlineStr">
        <is>
          <t>2005-05-04</t>
        </is>
      </c>
      <c r="W706" t="inlineStr">
        <is>
          <t>1994-04-25</t>
        </is>
      </c>
      <c r="X706" t="inlineStr">
        <is>
          <t>1999-09-22</t>
        </is>
      </c>
      <c r="Y706" t="n">
        <v>1035</v>
      </c>
      <c r="Z706" t="n">
        <v>852</v>
      </c>
      <c r="AA706" t="n">
        <v>860</v>
      </c>
      <c r="AB706" t="n">
        <v>6</v>
      </c>
      <c r="AC706" t="n">
        <v>6</v>
      </c>
      <c r="AD706" t="n">
        <v>27</v>
      </c>
      <c r="AE706" t="n">
        <v>27</v>
      </c>
      <c r="AF706" t="n">
        <v>11</v>
      </c>
      <c r="AG706" t="n">
        <v>11</v>
      </c>
      <c r="AH706" t="n">
        <v>3</v>
      </c>
      <c r="AI706" t="n">
        <v>3</v>
      </c>
      <c r="AJ706" t="n">
        <v>12</v>
      </c>
      <c r="AK706" t="n">
        <v>12</v>
      </c>
      <c r="AL706" t="n">
        <v>5</v>
      </c>
      <c r="AM706" t="n">
        <v>5</v>
      </c>
      <c r="AN706" t="n">
        <v>0</v>
      </c>
      <c r="AO706" t="n">
        <v>0</v>
      </c>
      <c r="AP706" t="inlineStr">
        <is>
          <t>No</t>
        </is>
      </c>
      <c r="AQ706" t="inlineStr">
        <is>
          <t>Yes</t>
        </is>
      </c>
      <c r="AR706">
        <f>HYPERLINK("http://catalog.hathitrust.org/Record/000315057","HathiTrust Record")</f>
        <v/>
      </c>
      <c r="AS706">
        <f>HYPERLINK("https://creighton-primo.hosted.exlibrisgroup.com/primo-explore/search?tab=default_tab&amp;search_scope=EVERYTHING&amp;vid=01CRU&amp;lang=en_US&amp;offset=0&amp;query=any,contains,991002279139702656","Catalog Record")</f>
        <v/>
      </c>
      <c r="AT706">
        <f>HYPERLINK("http://www.worldcat.org/oclc/310707","WorldCat Record")</f>
        <v/>
      </c>
      <c r="AU706" t="inlineStr">
        <is>
          <t>4020961096:eng</t>
        </is>
      </c>
      <c r="AV706" t="inlineStr">
        <is>
          <t>310707</t>
        </is>
      </c>
      <c r="AW706" t="inlineStr">
        <is>
          <t>991002279139702656</t>
        </is>
      </c>
      <c r="AX706" t="inlineStr">
        <is>
          <t>991002279139702656</t>
        </is>
      </c>
      <c r="AY706" t="inlineStr">
        <is>
          <t>2259621970002656</t>
        </is>
      </c>
      <c r="AZ706" t="inlineStr">
        <is>
          <t>BOOK</t>
        </is>
      </c>
      <c r="BB706" t="inlineStr">
        <is>
          <t>9780471258766</t>
        </is>
      </c>
      <c r="BC706" t="inlineStr">
        <is>
          <t>32285001878163</t>
        </is>
      </c>
      <c r="BD706" t="inlineStr">
        <is>
          <t>893433706</t>
        </is>
      </c>
    </row>
    <row r="707">
      <c r="A707" t="inlineStr">
        <is>
          <t>No</t>
        </is>
      </c>
      <c r="B707" t="inlineStr">
        <is>
          <t>QD262 .F5 v...</t>
        </is>
      </c>
      <c r="C707" t="inlineStr">
        <is>
          <t>0                      QD 0262000F  5                                                       v...</t>
        </is>
      </c>
      <c r="D707" t="inlineStr">
        <is>
          <t>Reagents for organic synthesis / [by] Louis F. Fieser [and] Mary Fieser.</t>
        </is>
      </c>
      <c r="E707" t="inlineStr">
        <is>
          <t>V. 13</t>
        </is>
      </c>
      <c r="F707" t="inlineStr">
        <is>
          <t>Yes</t>
        </is>
      </c>
      <c r="G707" t="inlineStr">
        <is>
          <t>1</t>
        </is>
      </c>
      <c r="H707" t="inlineStr">
        <is>
          <t>No</t>
        </is>
      </c>
      <c r="I707" t="inlineStr">
        <is>
          <t>No</t>
        </is>
      </c>
      <c r="J707" t="inlineStr">
        <is>
          <t>0</t>
        </is>
      </c>
      <c r="K707" t="inlineStr">
        <is>
          <t>Fieser, Louis F. (Louis Frederick), 1899-1977.</t>
        </is>
      </c>
      <c r="L707" t="inlineStr">
        <is>
          <t>New York : Wiley, 1967-</t>
        </is>
      </c>
      <c r="M707" t="inlineStr">
        <is>
          <t>1967</t>
        </is>
      </c>
      <c r="O707" t="inlineStr">
        <is>
          <t>eng</t>
        </is>
      </c>
      <c r="P707" t="inlineStr">
        <is>
          <t>nyu</t>
        </is>
      </c>
      <c r="R707" t="inlineStr">
        <is>
          <t xml:space="preserve">QD </t>
        </is>
      </c>
      <c r="S707" t="n">
        <v>0</v>
      </c>
      <c r="T707" t="n">
        <v>13</v>
      </c>
      <c r="V707" t="inlineStr">
        <is>
          <t>2005-05-04</t>
        </is>
      </c>
      <c r="W707" t="inlineStr">
        <is>
          <t>1999-09-22</t>
        </is>
      </c>
      <c r="X707" t="inlineStr">
        <is>
          <t>1999-09-22</t>
        </is>
      </c>
      <c r="Y707" t="n">
        <v>1035</v>
      </c>
      <c r="Z707" t="n">
        <v>852</v>
      </c>
      <c r="AA707" t="n">
        <v>860</v>
      </c>
      <c r="AB707" t="n">
        <v>6</v>
      </c>
      <c r="AC707" t="n">
        <v>6</v>
      </c>
      <c r="AD707" t="n">
        <v>27</v>
      </c>
      <c r="AE707" t="n">
        <v>27</v>
      </c>
      <c r="AF707" t="n">
        <v>11</v>
      </c>
      <c r="AG707" t="n">
        <v>11</v>
      </c>
      <c r="AH707" t="n">
        <v>3</v>
      </c>
      <c r="AI707" t="n">
        <v>3</v>
      </c>
      <c r="AJ707" t="n">
        <v>12</v>
      </c>
      <c r="AK707" t="n">
        <v>12</v>
      </c>
      <c r="AL707" t="n">
        <v>5</v>
      </c>
      <c r="AM707" t="n">
        <v>5</v>
      </c>
      <c r="AN707" t="n">
        <v>0</v>
      </c>
      <c r="AO707" t="n">
        <v>0</v>
      </c>
      <c r="AP707" t="inlineStr">
        <is>
          <t>No</t>
        </is>
      </c>
      <c r="AQ707" t="inlineStr">
        <is>
          <t>Yes</t>
        </is>
      </c>
      <c r="AR707">
        <f>HYPERLINK("http://catalog.hathitrust.org/Record/000315057","HathiTrust Record")</f>
        <v/>
      </c>
      <c r="AS707">
        <f>HYPERLINK("https://creighton-primo.hosted.exlibrisgroup.com/primo-explore/search?tab=default_tab&amp;search_scope=EVERYTHING&amp;vid=01CRU&amp;lang=en_US&amp;offset=0&amp;query=any,contains,991002279139702656","Catalog Record")</f>
        <v/>
      </c>
      <c r="AT707">
        <f>HYPERLINK("http://www.worldcat.org/oclc/310707","WorldCat Record")</f>
        <v/>
      </c>
      <c r="AU707" t="inlineStr">
        <is>
          <t>4020961096:eng</t>
        </is>
      </c>
      <c r="AV707" t="inlineStr">
        <is>
          <t>310707</t>
        </is>
      </c>
      <c r="AW707" t="inlineStr">
        <is>
          <t>991002279139702656</t>
        </is>
      </c>
      <c r="AX707" t="inlineStr">
        <is>
          <t>991002279139702656</t>
        </is>
      </c>
      <c r="AY707" t="inlineStr">
        <is>
          <t>2259621970002656</t>
        </is>
      </c>
      <c r="AZ707" t="inlineStr">
        <is>
          <t>BOOK</t>
        </is>
      </c>
      <c r="BB707" t="inlineStr">
        <is>
          <t>9780471258766</t>
        </is>
      </c>
      <c r="BC707" t="inlineStr">
        <is>
          <t>32285003590071</t>
        </is>
      </c>
      <c r="BD707" t="inlineStr">
        <is>
          <t>893408911</t>
        </is>
      </c>
    </row>
    <row r="708">
      <c r="A708" t="inlineStr">
        <is>
          <t>No</t>
        </is>
      </c>
      <c r="B708" t="inlineStr">
        <is>
          <t>QD262 .F5 v...</t>
        </is>
      </c>
      <c r="C708" t="inlineStr">
        <is>
          <t>0                      QD 0262000F  5                                                       v...</t>
        </is>
      </c>
      <c r="D708" t="inlineStr">
        <is>
          <t>Reagents for organic synthesis / [by] Louis F. Fieser [and] Mary Fieser.</t>
        </is>
      </c>
      <c r="E708" t="inlineStr">
        <is>
          <t>V. 11</t>
        </is>
      </c>
      <c r="F708" t="inlineStr">
        <is>
          <t>Yes</t>
        </is>
      </c>
      <c r="G708" t="inlineStr">
        <is>
          <t>1</t>
        </is>
      </c>
      <c r="H708" t="inlineStr">
        <is>
          <t>No</t>
        </is>
      </c>
      <c r="I708" t="inlineStr">
        <is>
          <t>No</t>
        </is>
      </c>
      <c r="J708" t="inlineStr">
        <is>
          <t>0</t>
        </is>
      </c>
      <c r="K708" t="inlineStr">
        <is>
          <t>Fieser, Louis F. (Louis Frederick), 1899-1977.</t>
        </is>
      </c>
      <c r="L708" t="inlineStr">
        <is>
          <t>New York : Wiley, 1967-</t>
        </is>
      </c>
      <c r="M708" t="inlineStr">
        <is>
          <t>1967</t>
        </is>
      </c>
      <c r="O708" t="inlineStr">
        <is>
          <t>eng</t>
        </is>
      </c>
      <c r="P708" t="inlineStr">
        <is>
          <t>nyu</t>
        </is>
      </c>
      <c r="R708" t="inlineStr">
        <is>
          <t xml:space="preserve">QD </t>
        </is>
      </c>
      <c r="S708" t="n">
        <v>0</v>
      </c>
      <c r="T708" t="n">
        <v>13</v>
      </c>
      <c r="V708" t="inlineStr">
        <is>
          <t>2005-05-04</t>
        </is>
      </c>
      <c r="W708" t="inlineStr">
        <is>
          <t>1993-01-28</t>
        </is>
      </c>
      <c r="X708" t="inlineStr">
        <is>
          <t>1999-09-22</t>
        </is>
      </c>
      <c r="Y708" t="n">
        <v>1035</v>
      </c>
      <c r="Z708" t="n">
        <v>852</v>
      </c>
      <c r="AA708" t="n">
        <v>860</v>
      </c>
      <c r="AB708" t="n">
        <v>6</v>
      </c>
      <c r="AC708" t="n">
        <v>6</v>
      </c>
      <c r="AD708" t="n">
        <v>27</v>
      </c>
      <c r="AE708" t="n">
        <v>27</v>
      </c>
      <c r="AF708" t="n">
        <v>11</v>
      </c>
      <c r="AG708" t="n">
        <v>11</v>
      </c>
      <c r="AH708" t="n">
        <v>3</v>
      </c>
      <c r="AI708" t="n">
        <v>3</v>
      </c>
      <c r="AJ708" t="n">
        <v>12</v>
      </c>
      <c r="AK708" t="n">
        <v>12</v>
      </c>
      <c r="AL708" t="n">
        <v>5</v>
      </c>
      <c r="AM708" t="n">
        <v>5</v>
      </c>
      <c r="AN708" t="n">
        <v>0</v>
      </c>
      <c r="AO708" t="n">
        <v>0</v>
      </c>
      <c r="AP708" t="inlineStr">
        <is>
          <t>No</t>
        </is>
      </c>
      <c r="AQ708" t="inlineStr">
        <is>
          <t>Yes</t>
        </is>
      </c>
      <c r="AR708">
        <f>HYPERLINK("http://catalog.hathitrust.org/Record/000315057","HathiTrust Record")</f>
        <v/>
      </c>
      <c r="AS708">
        <f>HYPERLINK("https://creighton-primo.hosted.exlibrisgroup.com/primo-explore/search?tab=default_tab&amp;search_scope=EVERYTHING&amp;vid=01CRU&amp;lang=en_US&amp;offset=0&amp;query=any,contains,991002279139702656","Catalog Record")</f>
        <v/>
      </c>
      <c r="AT708">
        <f>HYPERLINK("http://www.worldcat.org/oclc/310707","WorldCat Record")</f>
        <v/>
      </c>
      <c r="AU708" t="inlineStr">
        <is>
          <t>4020961096:eng</t>
        </is>
      </c>
      <c r="AV708" t="inlineStr">
        <is>
          <t>310707</t>
        </is>
      </c>
      <c r="AW708" t="inlineStr">
        <is>
          <t>991002279139702656</t>
        </is>
      </c>
      <c r="AX708" t="inlineStr">
        <is>
          <t>991002279139702656</t>
        </is>
      </c>
      <c r="AY708" t="inlineStr">
        <is>
          <t>2259621970002656</t>
        </is>
      </c>
      <c r="AZ708" t="inlineStr">
        <is>
          <t>BOOK</t>
        </is>
      </c>
      <c r="BB708" t="inlineStr">
        <is>
          <t>9780471258766</t>
        </is>
      </c>
      <c r="BC708" t="inlineStr">
        <is>
          <t>32285001515831</t>
        </is>
      </c>
      <c r="BD708" t="inlineStr">
        <is>
          <t>893421161</t>
        </is>
      </c>
    </row>
    <row r="709">
      <c r="A709" t="inlineStr">
        <is>
          <t>No</t>
        </is>
      </c>
      <c r="B709" t="inlineStr">
        <is>
          <t>QD262 .F5 v...</t>
        </is>
      </c>
      <c r="C709" t="inlineStr">
        <is>
          <t>0                      QD 0262000F  5                                                       v...</t>
        </is>
      </c>
      <c r="D709" t="inlineStr">
        <is>
          <t>Reagents for organic synthesis / [by] Louis F. Fieser [and] Mary Fieser.</t>
        </is>
      </c>
      <c r="E709" t="inlineStr">
        <is>
          <t>V. 17</t>
        </is>
      </c>
      <c r="F709" t="inlineStr">
        <is>
          <t>Yes</t>
        </is>
      </c>
      <c r="G709" t="inlineStr">
        <is>
          <t>1</t>
        </is>
      </c>
      <c r="H709" t="inlineStr">
        <is>
          <t>No</t>
        </is>
      </c>
      <c r="I709" t="inlineStr">
        <is>
          <t>No</t>
        </is>
      </c>
      <c r="J709" t="inlineStr">
        <is>
          <t>0</t>
        </is>
      </c>
      <c r="K709" t="inlineStr">
        <is>
          <t>Fieser, Louis F. (Louis Frederick), 1899-1977.</t>
        </is>
      </c>
      <c r="L709" t="inlineStr">
        <is>
          <t>New York : Wiley, 1967-</t>
        </is>
      </c>
      <c r="M709" t="inlineStr">
        <is>
          <t>1967</t>
        </is>
      </c>
      <c r="O709" t="inlineStr">
        <is>
          <t>eng</t>
        </is>
      </c>
      <c r="P709" t="inlineStr">
        <is>
          <t>nyu</t>
        </is>
      </c>
      <c r="R709" t="inlineStr">
        <is>
          <t xml:space="preserve">QD </t>
        </is>
      </c>
      <c r="S709" t="n">
        <v>4</v>
      </c>
      <c r="T709" t="n">
        <v>13</v>
      </c>
      <c r="U709" t="inlineStr">
        <is>
          <t>1998-09-10</t>
        </is>
      </c>
      <c r="V709" t="inlineStr">
        <is>
          <t>2005-05-04</t>
        </is>
      </c>
      <c r="W709" t="inlineStr">
        <is>
          <t>1995-03-29</t>
        </is>
      </c>
      <c r="X709" t="inlineStr">
        <is>
          <t>1999-09-22</t>
        </is>
      </c>
      <c r="Y709" t="n">
        <v>1035</v>
      </c>
      <c r="Z709" t="n">
        <v>852</v>
      </c>
      <c r="AA709" t="n">
        <v>860</v>
      </c>
      <c r="AB709" t="n">
        <v>6</v>
      </c>
      <c r="AC709" t="n">
        <v>6</v>
      </c>
      <c r="AD709" t="n">
        <v>27</v>
      </c>
      <c r="AE709" t="n">
        <v>27</v>
      </c>
      <c r="AF709" t="n">
        <v>11</v>
      </c>
      <c r="AG709" t="n">
        <v>11</v>
      </c>
      <c r="AH709" t="n">
        <v>3</v>
      </c>
      <c r="AI709" t="n">
        <v>3</v>
      </c>
      <c r="AJ709" t="n">
        <v>12</v>
      </c>
      <c r="AK709" t="n">
        <v>12</v>
      </c>
      <c r="AL709" t="n">
        <v>5</v>
      </c>
      <c r="AM709" t="n">
        <v>5</v>
      </c>
      <c r="AN709" t="n">
        <v>0</v>
      </c>
      <c r="AO709" t="n">
        <v>0</v>
      </c>
      <c r="AP709" t="inlineStr">
        <is>
          <t>No</t>
        </is>
      </c>
      <c r="AQ709" t="inlineStr">
        <is>
          <t>Yes</t>
        </is>
      </c>
      <c r="AR709">
        <f>HYPERLINK("http://catalog.hathitrust.org/Record/000315057","HathiTrust Record")</f>
        <v/>
      </c>
      <c r="AS709">
        <f>HYPERLINK("https://creighton-primo.hosted.exlibrisgroup.com/primo-explore/search?tab=default_tab&amp;search_scope=EVERYTHING&amp;vid=01CRU&amp;lang=en_US&amp;offset=0&amp;query=any,contains,991002279139702656","Catalog Record")</f>
        <v/>
      </c>
      <c r="AT709">
        <f>HYPERLINK("http://www.worldcat.org/oclc/310707","WorldCat Record")</f>
        <v/>
      </c>
      <c r="AU709" t="inlineStr">
        <is>
          <t>4020961096:eng</t>
        </is>
      </c>
      <c r="AV709" t="inlineStr">
        <is>
          <t>310707</t>
        </is>
      </c>
      <c r="AW709" t="inlineStr">
        <is>
          <t>991002279139702656</t>
        </is>
      </c>
      <c r="AX709" t="inlineStr">
        <is>
          <t>991002279139702656</t>
        </is>
      </c>
      <c r="AY709" t="inlineStr">
        <is>
          <t>2259621970002656</t>
        </is>
      </c>
      <c r="AZ709" t="inlineStr">
        <is>
          <t>BOOK</t>
        </is>
      </c>
      <c r="BB709" t="inlineStr">
        <is>
          <t>9780471258766</t>
        </is>
      </c>
      <c r="BC709" t="inlineStr">
        <is>
          <t>32285002014602</t>
        </is>
      </c>
      <c r="BD709" t="inlineStr">
        <is>
          <t>893421162</t>
        </is>
      </c>
    </row>
    <row r="710">
      <c r="A710" t="inlineStr">
        <is>
          <t>No</t>
        </is>
      </c>
      <c r="B710" t="inlineStr">
        <is>
          <t>QD262 .F5 v...</t>
        </is>
      </c>
      <c r="C710" t="inlineStr">
        <is>
          <t>0                      QD 0262000F  5                                                       v...</t>
        </is>
      </c>
      <c r="D710" t="inlineStr">
        <is>
          <t>Reagents for organic synthesis / [by] Louis F. Fieser [and] Mary Fieser.</t>
        </is>
      </c>
      <c r="E710" t="inlineStr">
        <is>
          <t>V. 12</t>
        </is>
      </c>
      <c r="F710" t="inlineStr">
        <is>
          <t>Yes</t>
        </is>
      </c>
      <c r="G710" t="inlineStr">
        <is>
          <t>1</t>
        </is>
      </c>
      <c r="H710" t="inlineStr">
        <is>
          <t>No</t>
        </is>
      </c>
      <c r="I710" t="inlineStr">
        <is>
          <t>No</t>
        </is>
      </c>
      <c r="J710" t="inlineStr">
        <is>
          <t>0</t>
        </is>
      </c>
      <c r="K710" t="inlineStr">
        <is>
          <t>Fieser, Louis F. (Louis Frederick), 1899-1977.</t>
        </is>
      </c>
      <c r="L710" t="inlineStr">
        <is>
          <t>New York : Wiley, 1967-</t>
        </is>
      </c>
      <c r="M710" t="inlineStr">
        <is>
          <t>1967</t>
        </is>
      </c>
      <c r="O710" t="inlineStr">
        <is>
          <t>eng</t>
        </is>
      </c>
      <c r="P710" t="inlineStr">
        <is>
          <t>nyu</t>
        </is>
      </c>
      <c r="R710" t="inlineStr">
        <is>
          <t xml:space="preserve">QD </t>
        </is>
      </c>
      <c r="S710" t="n">
        <v>0</v>
      </c>
      <c r="T710" t="n">
        <v>13</v>
      </c>
      <c r="V710" t="inlineStr">
        <is>
          <t>2005-05-04</t>
        </is>
      </c>
      <c r="W710" t="inlineStr">
        <is>
          <t>1999-09-22</t>
        </is>
      </c>
      <c r="X710" t="inlineStr">
        <is>
          <t>1999-09-22</t>
        </is>
      </c>
      <c r="Y710" t="n">
        <v>1035</v>
      </c>
      <c r="Z710" t="n">
        <v>852</v>
      </c>
      <c r="AA710" t="n">
        <v>860</v>
      </c>
      <c r="AB710" t="n">
        <v>6</v>
      </c>
      <c r="AC710" t="n">
        <v>6</v>
      </c>
      <c r="AD710" t="n">
        <v>27</v>
      </c>
      <c r="AE710" t="n">
        <v>27</v>
      </c>
      <c r="AF710" t="n">
        <v>11</v>
      </c>
      <c r="AG710" t="n">
        <v>11</v>
      </c>
      <c r="AH710" t="n">
        <v>3</v>
      </c>
      <c r="AI710" t="n">
        <v>3</v>
      </c>
      <c r="AJ710" t="n">
        <v>12</v>
      </c>
      <c r="AK710" t="n">
        <v>12</v>
      </c>
      <c r="AL710" t="n">
        <v>5</v>
      </c>
      <c r="AM710" t="n">
        <v>5</v>
      </c>
      <c r="AN710" t="n">
        <v>0</v>
      </c>
      <c r="AO710" t="n">
        <v>0</v>
      </c>
      <c r="AP710" t="inlineStr">
        <is>
          <t>No</t>
        </is>
      </c>
      <c r="AQ710" t="inlineStr">
        <is>
          <t>Yes</t>
        </is>
      </c>
      <c r="AR710">
        <f>HYPERLINK("http://catalog.hathitrust.org/Record/000315057","HathiTrust Record")</f>
        <v/>
      </c>
      <c r="AS710">
        <f>HYPERLINK("https://creighton-primo.hosted.exlibrisgroup.com/primo-explore/search?tab=default_tab&amp;search_scope=EVERYTHING&amp;vid=01CRU&amp;lang=en_US&amp;offset=0&amp;query=any,contains,991002279139702656","Catalog Record")</f>
        <v/>
      </c>
      <c r="AT710">
        <f>HYPERLINK("http://www.worldcat.org/oclc/310707","WorldCat Record")</f>
        <v/>
      </c>
      <c r="AU710" t="inlineStr">
        <is>
          <t>4020961096:eng</t>
        </is>
      </c>
      <c r="AV710" t="inlineStr">
        <is>
          <t>310707</t>
        </is>
      </c>
      <c r="AW710" t="inlineStr">
        <is>
          <t>991002279139702656</t>
        </is>
      </c>
      <c r="AX710" t="inlineStr">
        <is>
          <t>991002279139702656</t>
        </is>
      </c>
      <c r="AY710" t="inlineStr">
        <is>
          <t>2259621970002656</t>
        </is>
      </c>
      <c r="AZ710" t="inlineStr">
        <is>
          <t>BOOK</t>
        </is>
      </c>
      <c r="BB710" t="inlineStr">
        <is>
          <t>9780471258766</t>
        </is>
      </c>
      <c r="BC710" t="inlineStr">
        <is>
          <t>32285003590063</t>
        </is>
      </c>
      <c r="BD710" t="inlineStr">
        <is>
          <t>893421160</t>
        </is>
      </c>
    </row>
    <row r="711">
      <c r="A711" t="inlineStr">
        <is>
          <t>No</t>
        </is>
      </c>
      <c r="B711" t="inlineStr">
        <is>
          <t>QD262 .G38 1996</t>
        </is>
      </c>
      <c r="C711" t="inlineStr">
        <is>
          <t>0                      QD 0262000G  38          1996</t>
        </is>
      </c>
      <c r="D711" t="inlineStr">
        <is>
          <t>Principles of asymmetric synthesis / Robert E. Gawley and Jeffrey Aubé.</t>
        </is>
      </c>
      <c r="F711" t="inlineStr">
        <is>
          <t>No</t>
        </is>
      </c>
      <c r="G711" t="inlineStr">
        <is>
          <t>1</t>
        </is>
      </c>
      <c r="H711" t="inlineStr">
        <is>
          <t>No</t>
        </is>
      </c>
      <c r="I711" t="inlineStr">
        <is>
          <t>No</t>
        </is>
      </c>
      <c r="J711" t="inlineStr">
        <is>
          <t>0</t>
        </is>
      </c>
      <c r="K711" t="inlineStr">
        <is>
          <t>Gawley, Robert E.</t>
        </is>
      </c>
      <c r="L711" t="inlineStr">
        <is>
          <t>Oxford, U.K. ; Tarrytown, N.Y. : Pergamon, 1996.</t>
        </is>
      </c>
      <c r="M711" t="inlineStr">
        <is>
          <t>1996</t>
        </is>
      </c>
      <c r="N711" t="inlineStr">
        <is>
          <t>1st ed.</t>
        </is>
      </c>
      <c r="O711" t="inlineStr">
        <is>
          <t>eng</t>
        </is>
      </c>
      <c r="P711" t="inlineStr">
        <is>
          <t>enk</t>
        </is>
      </c>
      <c r="Q711" t="inlineStr">
        <is>
          <t>Tetrahedron organic chemistry series ; v. 14</t>
        </is>
      </c>
      <c r="R711" t="inlineStr">
        <is>
          <t xml:space="preserve">QD </t>
        </is>
      </c>
      <c r="S711" t="n">
        <v>4</v>
      </c>
      <c r="T711" t="n">
        <v>4</v>
      </c>
      <c r="U711" t="inlineStr">
        <is>
          <t>2000-08-17</t>
        </is>
      </c>
      <c r="V711" t="inlineStr">
        <is>
          <t>2000-08-17</t>
        </is>
      </c>
      <c r="W711" t="inlineStr">
        <is>
          <t>1998-04-21</t>
        </is>
      </c>
      <c r="X711" t="inlineStr">
        <is>
          <t>1998-04-21</t>
        </is>
      </c>
      <c r="Y711" t="n">
        <v>334</v>
      </c>
      <c r="Z711" t="n">
        <v>248</v>
      </c>
      <c r="AA711" t="n">
        <v>1017</v>
      </c>
      <c r="AB711" t="n">
        <v>2</v>
      </c>
      <c r="AC711" t="n">
        <v>14</v>
      </c>
      <c r="AD711" t="n">
        <v>12</v>
      </c>
      <c r="AE711" t="n">
        <v>39</v>
      </c>
      <c r="AF711" t="n">
        <v>3</v>
      </c>
      <c r="AG711" t="n">
        <v>11</v>
      </c>
      <c r="AH711" t="n">
        <v>4</v>
      </c>
      <c r="AI711" t="n">
        <v>9</v>
      </c>
      <c r="AJ711" t="n">
        <v>6</v>
      </c>
      <c r="AK711" t="n">
        <v>13</v>
      </c>
      <c r="AL711" t="n">
        <v>1</v>
      </c>
      <c r="AM711" t="n">
        <v>12</v>
      </c>
      <c r="AN711" t="n">
        <v>0</v>
      </c>
      <c r="AO711" t="n">
        <v>1</v>
      </c>
      <c r="AP711" t="inlineStr">
        <is>
          <t>No</t>
        </is>
      </c>
      <c r="AQ711" t="inlineStr">
        <is>
          <t>No</t>
        </is>
      </c>
      <c r="AS711">
        <f>HYPERLINK("https://creighton-primo.hosted.exlibrisgroup.com/primo-explore/search?tab=default_tab&amp;search_scope=EVERYTHING&amp;vid=01CRU&amp;lang=en_US&amp;offset=0&amp;query=any,contains,991005425549702656","Catalog Record")</f>
        <v/>
      </c>
      <c r="AT711">
        <f>HYPERLINK("http://www.worldcat.org/oclc/36166000","WorldCat Record")</f>
        <v/>
      </c>
      <c r="AU711" t="inlineStr">
        <is>
          <t>10594458039:eng</t>
        </is>
      </c>
      <c r="AV711" t="inlineStr">
        <is>
          <t>36166000</t>
        </is>
      </c>
      <c r="AW711" t="inlineStr">
        <is>
          <t>991005425549702656</t>
        </is>
      </c>
      <c r="AX711" t="inlineStr">
        <is>
          <t>991005425549702656</t>
        </is>
      </c>
      <c r="AY711" t="inlineStr">
        <is>
          <t>2263361740002656</t>
        </is>
      </c>
      <c r="AZ711" t="inlineStr">
        <is>
          <t>BOOK</t>
        </is>
      </c>
      <c r="BB711" t="inlineStr">
        <is>
          <t>9780080418759</t>
        </is>
      </c>
      <c r="BC711" t="inlineStr">
        <is>
          <t>32285003376265</t>
        </is>
      </c>
      <c r="BD711" t="inlineStr">
        <is>
          <t>893695305</t>
        </is>
      </c>
    </row>
    <row r="712">
      <c r="A712" t="inlineStr">
        <is>
          <t>No</t>
        </is>
      </c>
      <c r="B712" t="inlineStr">
        <is>
          <t>QD262 .G665 2007</t>
        </is>
      </c>
      <c r="C712" t="inlineStr">
        <is>
          <t>0                      QD 0262000G  665         2007</t>
        </is>
      </c>
      <c r="D712" t="inlineStr">
        <is>
          <t>Greene's protective groups in organic synthesis.</t>
        </is>
      </c>
      <c r="F712" t="inlineStr">
        <is>
          <t>No</t>
        </is>
      </c>
      <c r="G712" t="inlineStr">
        <is>
          <t>1</t>
        </is>
      </c>
      <c r="H712" t="inlineStr">
        <is>
          <t>No</t>
        </is>
      </c>
      <c r="I712" t="inlineStr">
        <is>
          <t>No</t>
        </is>
      </c>
      <c r="J712" t="inlineStr">
        <is>
          <t>0</t>
        </is>
      </c>
      <c r="K712" t="inlineStr">
        <is>
          <t>Wuts, Peter G. M.</t>
        </is>
      </c>
      <c r="L712" t="inlineStr">
        <is>
          <t>Hoboken, N.J. : Wiley-Interscience, c2007.</t>
        </is>
      </c>
      <c r="M712" t="inlineStr">
        <is>
          <t>2007</t>
        </is>
      </c>
      <c r="N712" t="inlineStr">
        <is>
          <t>4th ed. / Peter G. M. Wuts and Theodora W. Greene</t>
        </is>
      </c>
      <c r="O712" t="inlineStr">
        <is>
          <t>eng</t>
        </is>
      </c>
      <c r="P712" t="inlineStr">
        <is>
          <t>nju</t>
        </is>
      </c>
      <c r="R712" t="inlineStr">
        <is>
          <t xml:space="preserve">QD </t>
        </is>
      </c>
      <c r="S712" t="n">
        <v>2</v>
      </c>
      <c r="T712" t="n">
        <v>2</v>
      </c>
      <c r="U712" t="inlineStr">
        <is>
          <t>2007-02-23</t>
        </is>
      </c>
      <c r="V712" t="inlineStr">
        <is>
          <t>2007-02-23</t>
        </is>
      </c>
      <c r="W712" t="inlineStr">
        <is>
          <t>2007-02-23</t>
        </is>
      </c>
      <c r="X712" t="inlineStr">
        <is>
          <t>2007-02-23</t>
        </is>
      </c>
      <c r="Y712" t="n">
        <v>620</v>
      </c>
      <c r="Z712" t="n">
        <v>475</v>
      </c>
      <c r="AA712" t="n">
        <v>872</v>
      </c>
      <c r="AB712" t="n">
        <v>4</v>
      </c>
      <c r="AC712" t="n">
        <v>7</v>
      </c>
      <c r="AD712" t="n">
        <v>31</v>
      </c>
      <c r="AE712" t="n">
        <v>46</v>
      </c>
      <c r="AF712" t="n">
        <v>15</v>
      </c>
      <c r="AG712" t="n">
        <v>20</v>
      </c>
      <c r="AH712" t="n">
        <v>8</v>
      </c>
      <c r="AI712" t="n">
        <v>10</v>
      </c>
      <c r="AJ712" t="n">
        <v>12</v>
      </c>
      <c r="AK712" t="n">
        <v>19</v>
      </c>
      <c r="AL712" t="n">
        <v>3</v>
      </c>
      <c r="AM712" t="n">
        <v>6</v>
      </c>
      <c r="AN712" t="n">
        <v>0</v>
      </c>
      <c r="AO712" t="n">
        <v>1</v>
      </c>
      <c r="AP712" t="inlineStr">
        <is>
          <t>No</t>
        </is>
      </c>
      <c r="AQ712" t="inlineStr">
        <is>
          <t>No</t>
        </is>
      </c>
      <c r="AS712">
        <f>HYPERLINK("https://creighton-primo.hosted.exlibrisgroup.com/primo-explore/search?tab=default_tab&amp;search_scope=EVERYTHING&amp;vid=01CRU&amp;lang=en_US&amp;offset=0&amp;query=any,contains,991005037169702656","Catalog Record")</f>
        <v/>
      </c>
      <c r="AT712">
        <f>HYPERLINK("http://www.worldcat.org/oclc/69241485","WorldCat Record")</f>
        <v/>
      </c>
      <c r="AU712" t="inlineStr">
        <is>
          <t>3856681882:eng</t>
        </is>
      </c>
      <c r="AV712" t="inlineStr">
        <is>
          <t>69241485</t>
        </is>
      </c>
      <c r="AW712" t="inlineStr">
        <is>
          <t>991005037169702656</t>
        </is>
      </c>
      <c r="AX712" t="inlineStr">
        <is>
          <t>991005037169702656</t>
        </is>
      </c>
      <c r="AY712" t="inlineStr">
        <is>
          <t>2271409090002656</t>
        </is>
      </c>
      <c r="AZ712" t="inlineStr">
        <is>
          <t>BOOK</t>
        </is>
      </c>
      <c r="BB712" t="inlineStr">
        <is>
          <t>9780471697541</t>
        </is>
      </c>
      <c r="BC712" t="inlineStr">
        <is>
          <t>32285005279202</t>
        </is>
      </c>
      <c r="BD712" t="inlineStr">
        <is>
          <t>893260459</t>
        </is>
      </c>
    </row>
    <row r="713">
      <c r="A713" t="inlineStr">
        <is>
          <t>No</t>
        </is>
      </c>
      <c r="B713" t="inlineStr">
        <is>
          <t>QD262 .H26 1999</t>
        </is>
      </c>
      <c r="C713" t="inlineStr">
        <is>
          <t>0                      QD 0262000H  26          1999</t>
        </is>
      </c>
      <c r="D713" t="inlineStr">
        <is>
          <t>Protecting groups in organic synthesis / James R. Hanson.</t>
        </is>
      </c>
      <c r="F713" t="inlineStr">
        <is>
          <t>No</t>
        </is>
      </c>
      <c r="G713" t="inlineStr">
        <is>
          <t>1</t>
        </is>
      </c>
      <c r="H713" t="inlineStr">
        <is>
          <t>No</t>
        </is>
      </c>
      <c r="I713" t="inlineStr">
        <is>
          <t>No</t>
        </is>
      </c>
      <c r="J713" t="inlineStr">
        <is>
          <t>0</t>
        </is>
      </c>
      <c r="K713" t="inlineStr">
        <is>
          <t>Hanson, James Ralph.</t>
        </is>
      </c>
      <c r="L713" t="inlineStr">
        <is>
          <t>Sheffield, England : Sheffield Academic Press ; Malden, MA : Blackwell Science, 1999.</t>
        </is>
      </c>
      <c r="M713" t="inlineStr">
        <is>
          <t>1999</t>
        </is>
      </c>
      <c r="O713" t="inlineStr">
        <is>
          <t>eng</t>
        </is>
      </c>
      <c r="P713" t="inlineStr">
        <is>
          <t>enk</t>
        </is>
      </c>
      <c r="Q713" t="inlineStr">
        <is>
          <t>Postgraduate chemistry series</t>
        </is>
      </c>
      <c r="R713" t="inlineStr">
        <is>
          <t xml:space="preserve">QD </t>
        </is>
      </c>
      <c r="S713" t="n">
        <v>3</v>
      </c>
      <c r="T713" t="n">
        <v>3</v>
      </c>
      <c r="U713" t="inlineStr">
        <is>
          <t>2005-02-22</t>
        </is>
      </c>
      <c r="V713" t="inlineStr">
        <is>
          <t>2005-02-22</t>
        </is>
      </c>
      <c r="W713" t="inlineStr">
        <is>
          <t>2000-03-28</t>
        </is>
      </c>
      <c r="X713" t="inlineStr">
        <is>
          <t>2000-03-28</t>
        </is>
      </c>
      <c r="Y713" t="n">
        <v>145</v>
      </c>
      <c r="Z713" t="n">
        <v>80</v>
      </c>
      <c r="AA713" t="n">
        <v>85</v>
      </c>
      <c r="AB713" t="n">
        <v>1</v>
      </c>
      <c r="AC713" t="n">
        <v>1</v>
      </c>
      <c r="AD713" t="n">
        <v>4</v>
      </c>
      <c r="AE713" t="n">
        <v>4</v>
      </c>
      <c r="AF713" t="n">
        <v>1</v>
      </c>
      <c r="AG713" t="n">
        <v>1</v>
      </c>
      <c r="AH713" t="n">
        <v>1</v>
      </c>
      <c r="AI713" t="n">
        <v>1</v>
      </c>
      <c r="AJ713" t="n">
        <v>4</v>
      </c>
      <c r="AK713" t="n">
        <v>4</v>
      </c>
      <c r="AL713" t="n">
        <v>0</v>
      </c>
      <c r="AM713" t="n">
        <v>0</v>
      </c>
      <c r="AN713" t="n">
        <v>0</v>
      </c>
      <c r="AO713" t="n">
        <v>0</v>
      </c>
      <c r="AP713" t="inlineStr">
        <is>
          <t>No</t>
        </is>
      </c>
      <c r="AQ713" t="inlineStr">
        <is>
          <t>No</t>
        </is>
      </c>
      <c r="AS713">
        <f>HYPERLINK("https://creighton-primo.hosted.exlibrisgroup.com/primo-explore/search?tab=default_tab&amp;search_scope=EVERYTHING&amp;vid=01CRU&amp;lang=en_US&amp;offset=0&amp;query=any,contains,991003050039702656","Catalog Record")</f>
        <v/>
      </c>
      <c r="AT713">
        <f>HYPERLINK("http://www.worldcat.org/oclc/42875755","WorldCat Record")</f>
        <v/>
      </c>
      <c r="AU713" t="inlineStr">
        <is>
          <t>352342149:eng</t>
        </is>
      </c>
      <c r="AV713" t="inlineStr">
        <is>
          <t>42875755</t>
        </is>
      </c>
      <c r="AW713" t="inlineStr">
        <is>
          <t>991003050039702656</t>
        </is>
      </c>
      <c r="AX713" t="inlineStr">
        <is>
          <t>991003050039702656</t>
        </is>
      </c>
      <c r="AY713" t="inlineStr">
        <is>
          <t>2263578560002656</t>
        </is>
      </c>
      <c r="AZ713" t="inlineStr">
        <is>
          <t>BOOK</t>
        </is>
      </c>
      <c r="BB713" t="inlineStr">
        <is>
          <t>9780632045068</t>
        </is>
      </c>
      <c r="BC713" t="inlineStr">
        <is>
          <t>32285003674321</t>
        </is>
      </c>
      <c r="BD713" t="inlineStr">
        <is>
          <t>893233776</t>
        </is>
      </c>
    </row>
    <row r="714">
      <c r="A714" t="inlineStr">
        <is>
          <t>No</t>
        </is>
      </c>
      <c r="B714" t="inlineStr">
        <is>
          <t>QD262 .H35 2010</t>
        </is>
      </c>
      <c r="C714" t="inlineStr">
        <is>
          <t>0                      QD 0262000H  35          2010</t>
        </is>
      </c>
      <c r="D714" t="inlineStr">
        <is>
          <t>Transition metals in the synthesis of complex organic molecules / Louis S. Hegedus.</t>
        </is>
      </c>
      <c r="F714" t="inlineStr">
        <is>
          <t>No</t>
        </is>
      </c>
      <c r="G714" t="inlineStr">
        <is>
          <t>1</t>
        </is>
      </c>
      <c r="H714" t="inlineStr">
        <is>
          <t>No</t>
        </is>
      </c>
      <c r="I714" t="inlineStr">
        <is>
          <t>Yes</t>
        </is>
      </c>
      <c r="J714" t="inlineStr">
        <is>
          <t>0</t>
        </is>
      </c>
      <c r="K714" t="inlineStr">
        <is>
          <t>Hegedus, Louis S.</t>
        </is>
      </c>
      <c r="L714" t="inlineStr">
        <is>
          <t>Sausalito, Calif. : University Science Books, c2010.</t>
        </is>
      </c>
      <c r="M714" t="inlineStr">
        <is>
          <t>2010</t>
        </is>
      </c>
      <c r="N714" t="inlineStr">
        <is>
          <t>3rd ed. / Björn C.G. Söderberg.</t>
        </is>
      </c>
      <c r="O714" t="inlineStr">
        <is>
          <t>eng</t>
        </is>
      </c>
      <c r="P714" t="inlineStr">
        <is>
          <t>cau</t>
        </is>
      </c>
      <c r="R714" t="inlineStr">
        <is>
          <t xml:space="preserve">QD </t>
        </is>
      </c>
      <c r="S714" t="n">
        <v>1</v>
      </c>
      <c r="T714" t="n">
        <v>1</v>
      </c>
      <c r="U714" t="inlineStr">
        <is>
          <t>2010-12-16</t>
        </is>
      </c>
      <c r="V714" t="inlineStr">
        <is>
          <t>2010-12-16</t>
        </is>
      </c>
      <c r="W714" t="inlineStr">
        <is>
          <t>2010-12-16</t>
        </is>
      </c>
      <c r="X714" t="inlineStr">
        <is>
          <t>2010-12-16</t>
        </is>
      </c>
      <c r="Y714" t="n">
        <v>261</v>
      </c>
      <c r="Z714" t="n">
        <v>197</v>
      </c>
      <c r="AA714" t="n">
        <v>554</v>
      </c>
      <c r="AB714" t="n">
        <v>3</v>
      </c>
      <c r="AC714" t="n">
        <v>6</v>
      </c>
      <c r="AD714" t="n">
        <v>15</v>
      </c>
      <c r="AE714" t="n">
        <v>43</v>
      </c>
      <c r="AF714" t="n">
        <v>6</v>
      </c>
      <c r="AG714" t="n">
        <v>22</v>
      </c>
      <c r="AH714" t="n">
        <v>2</v>
      </c>
      <c r="AI714" t="n">
        <v>9</v>
      </c>
      <c r="AJ714" t="n">
        <v>9</v>
      </c>
      <c r="AK714" t="n">
        <v>19</v>
      </c>
      <c r="AL714" t="n">
        <v>2</v>
      </c>
      <c r="AM714" t="n">
        <v>5</v>
      </c>
      <c r="AN714" t="n">
        <v>0</v>
      </c>
      <c r="AO714" t="n">
        <v>0</v>
      </c>
      <c r="AP714" t="inlineStr">
        <is>
          <t>No</t>
        </is>
      </c>
      <c r="AQ714" t="inlineStr">
        <is>
          <t>Yes</t>
        </is>
      </c>
      <c r="AR714">
        <f>HYPERLINK("http://catalog.hathitrust.org/Record/006879261","HathiTrust Record")</f>
        <v/>
      </c>
      <c r="AS714">
        <f>HYPERLINK("https://creighton-primo.hosted.exlibrisgroup.com/primo-explore/search?tab=default_tab&amp;search_scope=EVERYTHING&amp;vid=01CRU&amp;lang=en_US&amp;offset=0&amp;query=any,contains,991000388829702656","Catalog Record")</f>
        <v/>
      </c>
      <c r="AT714">
        <f>HYPERLINK("http://www.worldcat.org/oclc/304387079","WorldCat Record")</f>
        <v/>
      </c>
      <c r="AU714" t="inlineStr">
        <is>
          <t>25897696:eng</t>
        </is>
      </c>
      <c r="AV714" t="inlineStr">
        <is>
          <t>304387079</t>
        </is>
      </c>
      <c r="AW714" t="inlineStr">
        <is>
          <t>991000388829702656</t>
        </is>
      </c>
      <c r="AX714" t="inlineStr">
        <is>
          <t>991000388829702656</t>
        </is>
      </c>
      <c r="AY714" t="inlineStr">
        <is>
          <t>2262204560002656</t>
        </is>
      </c>
      <c r="AZ714" t="inlineStr">
        <is>
          <t>BOOK</t>
        </is>
      </c>
      <c r="BB714" t="inlineStr">
        <is>
          <t>9781891389597</t>
        </is>
      </c>
      <c r="BC714" t="inlineStr">
        <is>
          <t>32285005651715</t>
        </is>
      </c>
      <c r="BD714" t="inlineStr">
        <is>
          <t>893255383</t>
        </is>
      </c>
    </row>
    <row r="715">
      <c r="A715" t="inlineStr">
        <is>
          <t>No</t>
        </is>
      </c>
      <c r="B715" t="inlineStr">
        <is>
          <t>QD262 .H59 1996</t>
        </is>
      </c>
      <c r="C715" t="inlineStr">
        <is>
          <t>0                      QD 0262000H  59          1996</t>
        </is>
      </c>
      <c r="D715" t="inlineStr">
        <is>
          <t>Evolution of synthetic pathways : parallax and calibration / Tse-Lok Ho.</t>
        </is>
      </c>
      <c r="F715" t="inlineStr">
        <is>
          <t>No</t>
        </is>
      </c>
      <c r="G715" t="inlineStr">
        <is>
          <t>1</t>
        </is>
      </c>
      <c r="H715" t="inlineStr">
        <is>
          <t>No</t>
        </is>
      </c>
      <c r="I715" t="inlineStr">
        <is>
          <t>No</t>
        </is>
      </c>
      <c r="J715" t="inlineStr">
        <is>
          <t>0</t>
        </is>
      </c>
      <c r="K715" t="inlineStr">
        <is>
          <t>Ho, Tse-Lok.</t>
        </is>
      </c>
      <c r="L715" t="inlineStr">
        <is>
          <t>Singapore ; River Edge, N.J. : World Scientific, c1996.</t>
        </is>
      </c>
      <c r="M715" t="inlineStr">
        <is>
          <t>1996</t>
        </is>
      </c>
      <c r="O715" t="inlineStr">
        <is>
          <t>eng</t>
        </is>
      </c>
      <c r="P715" t="inlineStr">
        <is>
          <t xml:space="preserve">si </t>
        </is>
      </c>
      <c r="R715" t="inlineStr">
        <is>
          <t xml:space="preserve">QD </t>
        </is>
      </c>
      <c r="S715" t="n">
        <v>0</v>
      </c>
      <c r="T715" t="n">
        <v>0</v>
      </c>
      <c r="U715" t="inlineStr">
        <is>
          <t>2000-07-17</t>
        </is>
      </c>
      <c r="V715" t="inlineStr">
        <is>
          <t>2000-07-17</t>
        </is>
      </c>
      <c r="W715" t="inlineStr">
        <is>
          <t>1997-05-29</t>
        </is>
      </c>
      <c r="X715" t="inlineStr">
        <is>
          <t>1997-05-29</t>
        </is>
      </c>
      <c r="Y715" t="n">
        <v>146</v>
      </c>
      <c r="Z715" t="n">
        <v>108</v>
      </c>
      <c r="AA715" t="n">
        <v>108</v>
      </c>
      <c r="AB715" t="n">
        <v>2</v>
      </c>
      <c r="AC715" t="n">
        <v>2</v>
      </c>
      <c r="AD715" t="n">
        <v>11</v>
      </c>
      <c r="AE715" t="n">
        <v>11</v>
      </c>
      <c r="AF715" t="n">
        <v>5</v>
      </c>
      <c r="AG715" t="n">
        <v>5</v>
      </c>
      <c r="AH715" t="n">
        <v>2</v>
      </c>
      <c r="AI715" t="n">
        <v>2</v>
      </c>
      <c r="AJ715" t="n">
        <v>8</v>
      </c>
      <c r="AK715" t="n">
        <v>8</v>
      </c>
      <c r="AL715" t="n">
        <v>1</v>
      </c>
      <c r="AM715" t="n">
        <v>1</v>
      </c>
      <c r="AN715" t="n">
        <v>0</v>
      </c>
      <c r="AO715" t="n">
        <v>0</v>
      </c>
      <c r="AP715" t="inlineStr">
        <is>
          <t>No</t>
        </is>
      </c>
      <c r="AQ715" t="inlineStr">
        <is>
          <t>No</t>
        </is>
      </c>
      <c r="AS715">
        <f>HYPERLINK("https://creighton-primo.hosted.exlibrisgroup.com/primo-explore/search?tab=default_tab&amp;search_scope=EVERYTHING&amp;vid=01CRU&amp;lang=en_US&amp;offset=0&amp;query=any,contains,991002666439702656","Catalog Record")</f>
        <v/>
      </c>
      <c r="AT715">
        <f>HYPERLINK("http://www.worldcat.org/oclc/34878779","WorldCat Record")</f>
        <v/>
      </c>
      <c r="AU715" t="inlineStr">
        <is>
          <t>889402105:eng</t>
        </is>
      </c>
      <c r="AV715" t="inlineStr">
        <is>
          <t>34878779</t>
        </is>
      </c>
      <c r="AW715" t="inlineStr">
        <is>
          <t>991002666439702656</t>
        </is>
      </c>
      <c r="AX715" t="inlineStr">
        <is>
          <t>991002666439702656</t>
        </is>
      </c>
      <c r="AY715" t="inlineStr">
        <is>
          <t>2268432660002656</t>
        </is>
      </c>
      <c r="AZ715" t="inlineStr">
        <is>
          <t>BOOK</t>
        </is>
      </c>
      <c r="BB715" t="inlineStr">
        <is>
          <t>9789810226695</t>
        </is>
      </c>
      <c r="BC715" t="inlineStr">
        <is>
          <t>32285002612447</t>
        </is>
      </c>
      <c r="BD715" t="inlineStr">
        <is>
          <t>893233249</t>
        </is>
      </c>
    </row>
    <row r="716">
      <c r="A716" t="inlineStr">
        <is>
          <t>No</t>
        </is>
      </c>
      <c r="B716" t="inlineStr">
        <is>
          <t>QD262 .K36 2009</t>
        </is>
      </c>
      <c r="C716" t="inlineStr">
        <is>
          <t>0                      QD 0262000K  36          2009</t>
        </is>
      </c>
      <c r="D716" t="inlineStr">
        <is>
          <t>Practical microwave synthesis for organic chemists : strategies, instruments, and protocols / C. Oliver Kappe, Doris Dallinger, and S. Shaun Murphree.</t>
        </is>
      </c>
      <c r="F716" t="inlineStr">
        <is>
          <t>No</t>
        </is>
      </c>
      <c r="G716" t="inlineStr">
        <is>
          <t>1</t>
        </is>
      </c>
      <c r="H716" t="inlineStr">
        <is>
          <t>No</t>
        </is>
      </c>
      <c r="I716" t="inlineStr">
        <is>
          <t>No</t>
        </is>
      </c>
      <c r="J716" t="inlineStr">
        <is>
          <t>0</t>
        </is>
      </c>
      <c r="K716" t="inlineStr">
        <is>
          <t>Kappe, C. Oliver.</t>
        </is>
      </c>
      <c r="L716" t="inlineStr">
        <is>
          <t>Weinheim : Wiley-VCH, c2009.</t>
        </is>
      </c>
      <c r="M716" t="inlineStr">
        <is>
          <t>2009</t>
        </is>
      </c>
      <c r="O716" t="inlineStr">
        <is>
          <t>eng</t>
        </is>
      </c>
      <c r="P716" t="inlineStr">
        <is>
          <t xml:space="preserve">gw </t>
        </is>
      </c>
      <c r="R716" t="inlineStr">
        <is>
          <t xml:space="preserve">QD </t>
        </is>
      </c>
      <c r="S716" t="n">
        <v>1</v>
      </c>
      <c r="T716" t="n">
        <v>1</v>
      </c>
      <c r="U716" t="inlineStr">
        <is>
          <t>2010-02-23</t>
        </is>
      </c>
      <c r="V716" t="inlineStr">
        <is>
          <t>2010-02-23</t>
        </is>
      </c>
      <c r="W716" t="inlineStr">
        <is>
          <t>2010-02-23</t>
        </is>
      </c>
      <c r="X716" t="inlineStr">
        <is>
          <t>2010-02-23</t>
        </is>
      </c>
      <c r="Y716" t="n">
        <v>219</v>
      </c>
      <c r="Z716" t="n">
        <v>162</v>
      </c>
      <c r="AA716" t="n">
        <v>228</v>
      </c>
      <c r="AB716" t="n">
        <v>3</v>
      </c>
      <c r="AC716" t="n">
        <v>3</v>
      </c>
      <c r="AD716" t="n">
        <v>10</v>
      </c>
      <c r="AE716" t="n">
        <v>11</v>
      </c>
      <c r="AF716" t="n">
        <v>4</v>
      </c>
      <c r="AG716" t="n">
        <v>4</v>
      </c>
      <c r="AH716" t="n">
        <v>2</v>
      </c>
      <c r="AI716" t="n">
        <v>2</v>
      </c>
      <c r="AJ716" t="n">
        <v>6</v>
      </c>
      <c r="AK716" t="n">
        <v>7</v>
      </c>
      <c r="AL716" t="n">
        <v>2</v>
      </c>
      <c r="AM716" t="n">
        <v>2</v>
      </c>
      <c r="AN716" t="n">
        <v>0</v>
      </c>
      <c r="AO716" t="n">
        <v>0</v>
      </c>
      <c r="AP716" t="inlineStr">
        <is>
          <t>No</t>
        </is>
      </c>
      <c r="AQ716" t="inlineStr">
        <is>
          <t>No</t>
        </is>
      </c>
      <c r="AS716">
        <f>HYPERLINK("https://creighton-primo.hosted.exlibrisgroup.com/primo-explore/search?tab=default_tab&amp;search_scope=EVERYTHING&amp;vid=01CRU&amp;lang=en_US&amp;offset=0&amp;query=any,contains,991005363379702656","Catalog Record")</f>
        <v/>
      </c>
      <c r="AT716">
        <f>HYPERLINK("http://www.worldcat.org/oclc/230183671","WorldCat Record")</f>
        <v/>
      </c>
      <c r="AU716" t="inlineStr">
        <is>
          <t>341423104:eng</t>
        </is>
      </c>
      <c r="AV716" t="inlineStr">
        <is>
          <t>230183671</t>
        </is>
      </c>
      <c r="AW716" t="inlineStr">
        <is>
          <t>991005363379702656</t>
        </is>
      </c>
      <c r="AX716" t="inlineStr">
        <is>
          <t>991005363379702656</t>
        </is>
      </c>
      <c r="AY716" t="inlineStr">
        <is>
          <t>2255280020002656</t>
        </is>
      </c>
      <c r="AZ716" t="inlineStr">
        <is>
          <t>BOOK</t>
        </is>
      </c>
      <c r="BB716" t="inlineStr">
        <is>
          <t>9783527320974</t>
        </is>
      </c>
      <c r="BC716" t="inlineStr">
        <is>
          <t>32285005575260</t>
        </is>
      </c>
      <c r="BD716" t="inlineStr">
        <is>
          <t>893613578</t>
        </is>
      </c>
    </row>
    <row r="717">
      <c r="A717" t="inlineStr">
        <is>
          <t>No</t>
        </is>
      </c>
      <c r="B717" t="inlineStr">
        <is>
          <t>QD262 .L44 1999</t>
        </is>
      </c>
      <c r="C717" t="inlineStr">
        <is>
          <t>0                      QD 0262000L  44          1999</t>
        </is>
      </c>
      <c r="D717" t="inlineStr">
        <is>
          <t>Lewis acid reagents : a practical approach / edited by Hisashi Yamamoto.</t>
        </is>
      </c>
      <c r="F717" t="inlineStr">
        <is>
          <t>No</t>
        </is>
      </c>
      <c r="G717" t="inlineStr">
        <is>
          <t>1</t>
        </is>
      </c>
      <c r="H717" t="inlineStr">
        <is>
          <t>No</t>
        </is>
      </c>
      <c r="I717" t="inlineStr">
        <is>
          <t>No</t>
        </is>
      </c>
      <c r="J717" t="inlineStr">
        <is>
          <t>0</t>
        </is>
      </c>
      <c r="L717" t="inlineStr">
        <is>
          <t>New York : Oxford University Press, 1999.</t>
        </is>
      </c>
      <c r="M717" t="inlineStr">
        <is>
          <t>1999</t>
        </is>
      </c>
      <c r="O717" t="inlineStr">
        <is>
          <t>eng</t>
        </is>
      </c>
      <c r="P717" t="inlineStr">
        <is>
          <t>nyu</t>
        </is>
      </c>
      <c r="Q717" t="inlineStr">
        <is>
          <t>The practical approach in chemistry series</t>
        </is>
      </c>
      <c r="R717" t="inlineStr">
        <is>
          <t xml:space="preserve">QD </t>
        </is>
      </c>
      <c r="S717" t="n">
        <v>2</v>
      </c>
      <c r="T717" t="n">
        <v>2</v>
      </c>
      <c r="U717" t="inlineStr">
        <is>
          <t>2001-05-16</t>
        </is>
      </c>
      <c r="V717" t="inlineStr">
        <is>
          <t>2001-05-16</t>
        </is>
      </c>
      <c r="W717" t="inlineStr">
        <is>
          <t>2001-04-18</t>
        </is>
      </c>
      <c r="X717" t="inlineStr">
        <is>
          <t>2001-04-18</t>
        </is>
      </c>
      <c r="Y717" t="n">
        <v>181</v>
      </c>
      <c r="Z717" t="n">
        <v>118</v>
      </c>
      <c r="AA717" t="n">
        <v>253</v>
      </c>
      <c r="AB717" t="n">
        <v>2</v>
      </c>
      <c r="AC717" t="n">
        <v>2</v>
      </c>
      <c r="AD717" t="n">
        <v>2</v>
      </c>
      <c r="AE717" t="n">
        <v>4</v>
      </c>
      <c r="AF717" t="n">
        <v>0</v>
      </c>
      <c r="AG717" t="n">
        <v>0</v>
      </c>
      <c r="AH717" t="n">
        <v>0</v>
      </c>
      <c r="AI717" t="n">
        <v>1</v>
      </c>
      <c r="AJ717" t="n">
        <v>1</v>
      </c>
      <c r="AK717" t="n">
        <v>3</v>
      </c>
      <c r="AL717" t="n">
        <v>1</v>
      </c>
      <c r="AM717" t="n">
        <v>1</v>
      </c>
      <c r="AN717" t="n">
        <v>0</v>
      </c>
      <c r="AO717" t="n">
        <v>0</v>
      </c>
      <c r="AP717" t="inlineStr">
        <is>
          <t>No</t>
        </is>
      </c>
      <c r="AQ717" t="inlineStr">
        <is>
          <t>No</t>
        </is>
      </c>
      <c r="AS717">
        <f>HYPERLINK("https://creighton-primo.hosted.exlibrisgroup.com/primo-explore/search?tab=default_tab&amp;search_scope=EVERYTHING&amp;vid=01CRU&amp;lang=en_US&amp;offset=0&amp;query=any,contains,991003503259702656","Catalog Record")</f>
        <v/>
      </c>
      <c r="AT717">
        <f>HYPERLINK("http://www.worldcat.org/oclc/39539199","WorldCat Record")</f>
        <v/>
      </c>
      <c r="AU717" t="inlineStr">
        <is>
          <t>797258500:eng</t>
        </is>
      </c>
      <c r="AV717" t="inlineStr">
        <is>
          <t>39539199</t>
        </is>
      </c>
      <c r="AW717" t="inlineStr">
        <is>
          <t>991003503259702656</t>
        </is>
      </c>
      <c r="AX717" t="inlineStr">
        <is>
          <t>991003503259702656</t>
        </is>
      </c>
      <c r="AY717" t="inlineStr">
        <is>
          <t>2259979460002656</t>
        </is>
      </c>
      <c r="AZ717" t="inlineStr">
        <is>
          <t>BOOK</t>
        </is>
      </c>
      <c r="BB717" t="inlineStr">
        <is>
          <t>9780198500995</t>
        </is>
      </c>
      <c r="BC717" t="inlineStr">
        <is>
          <t>32285004313283</t>
        </is>
      </c>
      <c r="BD717" t="inlineStr">
        <is>
          <t>893324126</t>
        </is>
      </c>
    </row>
    <row r="718">
      <c r="A718" t="inlineStr">
        <is>
          <t>No</t>
        </is>
      </c>
      <c r="B718" t="inlineStr">
        <is>
          <t>QD262 .M245 1990</t>
        </is>
      </c>
      <c r="C718" t="inlineStr">
        <is>
          <t>0                      QD 0262000M  245         1990</t>
        </is>
      </c>
      <c r="D718" t="inlineStr">
        <is>
          <t>Guidebook to organic synthesis / Raymond K. Mackie, David M. Smith, and R. Alan Aitken.</t>
        </is>
      </c>
      <c r="F718" t="inlineStr">
        <is>
          <t>No</t>
        </is>
      </c>
      <c r="G718" t="inlineStr">
        <is>
          <t>1</t>
        </is>
      </c>
      <c r="H718" t="inlineStr">
        <is>
          <t>No</t>
        </is>
      </c>
      <c r="I718" t="inlineStr">
        <is>
          <t>No</t>
        </is>
      </c>
      <c r="J718" t="inlineStr">
        <is>
          <t>0</t>
        </is>
      </c>
      <c r="K718" t="inlineStr">
        <is>
          <t>Mackie, Raymond K. (Raymond Keith)</t>
        </is>
      </c>
      <c r="L718" t="inlineStr">
        <is>
          <t>Harlow, Essex, England : Longman Scientific &amp; Technical ; New York : Wiley, c1990.</t>
        </is>
      </c>
      <c r="M718" t="inlineStr">
        <is>
          <t>1990</t>
        </is>
      </c>
      <c r="N718" t="inlineStr">
        <is>
          <t>2nd ed.</t>
        </is>
      </c>
      <c r="O718" t="inlineStr">
        <is>
          <t>eng</t>
        </is>
      </c>
      <c r="P718" t="inlineStr">
        <is>
          <t>enk</t>
        </is>
      </c>
      <c r="R718" t="inlineStr">
        <is>
          <t xml:space="preserve">QD </t>
        </is>
      </c>
      <c r="S718" t="n">
        <v>12</v>
      </c>
      <c r="T718" t="n">
        <v>12</v>
      </c>
      <c r="U718" t="inlineStr">
        <is>
          <t>1997-05-16</t>
        </is>
      </c>
      <c r="V718" t="inlineStr">
        <is>
          <t>1997-05-16</t>
        </is>
      </c>
      <c r="W718" t="inlineStr">
        <is>
          <t>1991-02-08</t>
        </is>
      </c>
      <c r="X718" t="inlineStr">
        <is>
          <t>1991-02-08</t>
        </is>
      </c>
      <c r="Y718" t="n">
        <v>468</v>
      </c>
      <c r="Z718" t="n">
        <v>342</v>
      </c>
      <c r="AA718" t="n">
        <v>608</v>
      </c>
      <c r="AB718" t="n">
        <v>4</v>
      </c>
      <c r="AC718" t="n">
        <v>5</v>
      </c>
      <c r="AD718" t="n">
        <v>16</v>
      </c>
      <c r="AE718" t="n">
        <v>27</v>
      </c>
      <c r="AF718" t="n">
        <v>4</v>
      </c>
      <c r="AG718" t="n">
        <v>12</v>
      </c>
      <c r="AH718" t="n">
        <v>5</v>
      </c>
      <c r="AI718" t="n">
        <v>5</v>
      </c>
      <c r="AJ718" t="n">
        <v>8</v>
      </c>
      <c r="AK718" t="n">
        <v>13</v>
      </c>
      <c r="AL718" t="n">
        <v>3</v>
      </c>
      <c r="AM718" t="n">
        <v>4</v>
      </c>
      <c r="AN718" t="n">
        <v>0</v>
      </c>
      <c r="AO718" t="n">
        <v>0</v>
      </c>
      <c r="AP718" t="inlineStr">
        <is>
          <t>No</t>
        </is>
      </c>
      <c r="AQ718" t="inlineStr">
        <is>
          <t>Yes</t>
        </is>
      </c>
      <c r="AR718">
        <f>HYPERLINK("http://catalog.hathitrust.org/Record/002169362","HathiTrust Record")</f>
        <v/>
      </c>
      <c r="AS718">
        <f>HYPERLINK("https://creighton-primo.hosted.exlibrisgroup.com/primo-explore/search?tab=default_tab&amp;search_scope=EVERYTHING&amp;vid=01CRU&amp;lang=en_US&amp;offset=0&amp;query=any,contains,991001550419702656","Catalog Record")</f>
        <v/>
      </c>
      <c r="AT718">
        <f>HYPERLINK("http://www.worldcat.org/oclc/20219402","WorldCat Record")</f>
        <v/>
      </c>
      <c r="AU718" t="inlineStr">
        <is>
          <t>10609890:eng</t>
        </is>
      </c>
      <c r="AV718" t="inlineStr">
        <is>
          <t>20219402</t>
        </is>
      </c>
      <c r="AW718" t="inlineStr">
        <is>
          <t>991001550419702656</t>
        </is>
      </c>
      <c r="AX718" t="inlineStr">
        <is>
          <t>991001550419702656</t>
        </is>
      </c>
      <c r="AY718" t="inlineStr">
        <is>
          <t>2272172810002656</t>
        </is>
      </c>
      <c r="AZ718" t="inlineStr">
        <is>
          <t>BOOK</t>
        </is>
      </c>
      <c r="BB718" t="inlineStr">
        <is>
          <t>9780470215685</t>
        </is>
      </c>
      <c r="BC718" t="inlineStr">
        <is>
          <t>32285000463553</t>
        </is>
      </c>
      <c r="BD718" t="inlineStr">
        <is>
          <t>893791504</t>
        </is>
      </c>
    </row>
    <row r="719">
      <c r="A719" t="inlineStr">
        <is>
          <t>No</t>
        </is>
      </c>
      <c r="B719" t="inlineStr">
        <is>
          <t>QD262 .M53 2006</t>
        </is>
      </c>
      <c r="C719" t="inlineStr">
        <is>
          <t>0                      QD 0262000M  53          2006</t>
        </is>
      </c>
      <c r="D719" t="inlineStr">
        <is>
          <t>Microwaves in organic synthesis / edited by André Loupy.</t>
        </is>
      </c>
      <c r="E719" t="inlineStr">
        <is>
          <t>V. 1</t>
        </is>
      </c>
      <c r="F719" t="inlineStr">
        <is>
          <t>Yes</t>
        </is>
      </c>
      <c r="G719" t="inlineStr">
        <is>
          <t>1</t>
        </is>
      </c>
      <c r="H719" t="inlineStr">
        <is>
          <t>No</t>
        </is>
      </c>
      <c r="I719" t="inlineStr">
        <is>
          <t>No</t>
        </is>
      </c>
      <c r="J719" t="inlineStr">
        <is>
          <t>0</t>
        </is>
      </c>
      <c r="L719" t="inlineStr">
        <is>
          <t>Weinheim : Wiley-VCH ; [Chichester : John Wiley, distributor], c2006.</t>
        </is>
      </c>
      <c r="M719" t="inlineStr">
        <is>
          <t>2006</t>
        </is>
      </c>
      <c r="N719" t="inlineStr">
        <is>
          <t>2nd, completely rev. and enlarged edition..</t>
        </is>
      </c>
      <c r="O719" t="inlineStr">
        <is>
          <t>eng</t>
        </is>
      </c>
      <c r="P719" t="inlineStr">
        <is>
          <t xml:space="preserve">gw </t>
        </is>
      </c>
      <c r="R719" t="inlineStr">
        <is>
          <t xml:space="preserve">QD </t>
        </is>
      </c>
      <c r="S719" t="n">
        <v>1</v>
      </c>
      <c r="T719" t="n">
        <v>2</v>
      </c>
      <c r="U719" t="inlineStr">
        <is>
          <t>2007-02-26</t>
        </is>
      </c>
      <c r="V719" t="inlineStr">
        <is>
          <t>2007-02-26</t>
        </is>
      </c>
      <c r="W719" t="inlineStr">
        <is>
          <t>2007-02-26</t>
        </is>
      </c>
      <c r="X719" t="inlineStr">
        <is>
          <t>2007-02-26</t>
        </is>
      </c>
      <c r="Y719" t="n">
        <v>165</v>
      </c>
      <c r="Z719" t="n">
        <v>107</v>
      </c>
      <c r="AA719" t="n">
        <v>359</v>
      </c>
      <c r="AB719" t="n">
        <v>1</v>
      </c>
      <c r="AC719" t="n">
        <v>4</v>
      </c>
      <c r="AD719" t="n">
        <v>7</v>
      </c>
      <c r="AE719" t="n">
        <v>23</v>
      </c>
      <c r="AF719" t="n">
        <v>3</v>
      </c>
      <c r="AG719" t="n">
        <v>9</v>
      </c>
      <c r="AH719" t="n">
        <v>3</v>
      </c>
      <c r="AI719" t="n">
        <v>5</v>
      </c>
      <c r="AJ719" t="n">
        <v>3</v>
      </c>
      <c r="AK719" t="n">
        <v>13</v>
      </c>
      <c r="AL719" t="n">
        <v>0</v>
      </c>
      <c r="AM719" t="n">
        <v>3</v>
      </c>
      <c r="AN719" t="n">
        <v>0</v>
      </c>
      <c r="AO719" t="n">
        <v>0</v>
      </c>
      <c r="AP719" t="inlineStr">
        <is>
          <t>No</t>
        </is>
      </c>
      <c r="AQ719" t="inlineStr">
        <is>
          <t>Yes</t>
        </is>
      </c>
      <c r="AR719">
        <f>HYPERLINK("http://catalog.hathitrust.org/Record/009464218","HathiTrust Record")</f>
        <v/>
      </c>
      <c r="AS719">
        <f>HYPERLINK("https://creighton-primo.hosted.exlibrisgroup.com/primo-explore/search?tab=default_tab&amp;search_scope=EVERYTHING&amp;vid=01CRU&amp;lang=en_US&amp;offset=0&amp;query=any,contains,991005036989702656","Catalog Record")</f>
        <v/>
      </c>
      <c r="AT719">
        <f>HYPERLINK("http://www.worldcat.org/oclc/69022690","WorldCat Record")</f>
        <v/>
      </c>
      <c r="AU719" t="inlineStr">
        <is>
          <t>54965058:eng</t>
        </is>
      </c>
      <c r="AV719" t="inlineStr">
        <is>
          <t>69022690</t>
        </is>
      </c>
      <c r="AW719" t="inlineStr">
        <is>
          <t>991005036989702656</t>
        </is>
      </c>
      <c r="AX719" t="inlineStr">
        <is>
          <t>991005036989702656</t>
        </is>
      </c>
      <c r="AY719" t="inlineStr">
        <is>
          <t>2262013730002656</t>
        </is>
      </c>
      <c r="AZ719" t="inlineStr">
        <is>
          <t>BOOK</t>
        </is>
      </c>
      <c r="BB719" t="inlineStr">
        <is>
          <t>9783527314522</t>
        </is>
      </c>
      <c r="BC719" t="inlineStr">
        <is>
          <t>32285005278907</t>
        </is>
      </c>
      <c r="BD719" t="inlineStr">
        <is>
          <t>893437049</t>
        </is>
      </c>
    </row>
    <row r="720">
      <c r="A720" t="inlineStr">
        <is>
          <t>No</t>
        </is>
      </c>
      <c r="B720" t="inlineStr">
        <is>
          <t>QD262 .M53 2006</t>
        </is>
      </c>
      <c r="C720" t="inlineStr">
        <is>
          <t>0                      QD 0262000M  53          2006</t>
        </is>
      </c>
      <c r="D720" t="inlineStr">
        <is>
          <t>Microwaves in organic synthesis / edited by André Loupy.</t>
        </is>
      </c>
      <c r="E720" t="inlineStr">
        <is>
          <t>V. 2</t>
        </is>
      </c>
      <c r="F720" t="inlineStr">
        <is>
          <t>Yes</t>
        </is>
      </c>
      <c r="G720" t="inlineStr">
        <is>
          <t>1</t>
        </is>
      </c>
      <c r="H720" t="inlineStr">
        <is>
          <t>No</t>
        </is>
      </c>
      <c r="I720" t="inlineStr">
        <is>
          <t>No</t>
        </is>
      </c>
      <c r="J720" t="inlineStr">
        <is>
          <t>0</t>
        </is>
      </c>
      <c r="L720" t="inlineStr">
        <is>
          <t>Weinheim : Wiley-VCH ; [Chichester : John Wiley, distributor], c2006.</t>
        </is>
      </c>
      <c r="M720" t="inlineStr">
        <is>
          <t>2006</t>
        </is>
      </c>
      <c r="N720" t="inlineStr">
        <is>
          <t>2nd, completely rev. and enlarged edition..</t>
        </is>
      </c>
      <c r="O720" t="inlineStr">
        <is>
          <t>eng</t>
        </is>
      </c>
      <c r="P720" t="inlineStr">
        <is>
          <t xml:space="preserve">gw </t>
        </is>
      </c>
      <c r="R720" t="inlineStr">
        <is>
          <t xml:space="preserve">QD </t>
        </is>
      </c>
      <c r="S720" t="n">
        <v>1</v>
      </c>
      <c r="T720" t="n">
        <v>2</v>
      </c>
      <c r="U720" t="inlineStr">
        <is>
          <t>2007-02-26</t>
        </is>
      </c>
      <c r="V720" t="inlineStr">
        <is>
          <t>2007-02-26</t>
        </is>
      </c>
      <c r="W720" t="inlineStr">
        <is>
          <t>2007-02-26</t>
        </is>
      </c>
      <c r="X720" t="inlineStr">
        <is>
          <t>2007-02-26</t>
        </is>
      </c>
      <c r="Y720" t="n">
        <v>165</v>
      </c>
      <c r="Z720" t="n">
        <v>107</v>
      </c>
      <c r="AA720" t="n">
        <v>359</v>
      </c>
      <c r="AB720" t="n">
        <v>1</v>
      </c>
      <c r="AC720" t="n">
        <v>4</v>
      </c>
      <c r="AD720" t="n">
        <v>7</v>
      </c>
      <c r="AE720" t="n">
        <v>23</v>
      </c>
      <c r="AF720" t="n">
        <v>3</v>
      </c>
      <c r="AG720" t="n">
        <v>9</v>
      </c>
      <c r="AH720" t="n">
        <v>3</v>
      </c>
      <c r="AI720" t="n">
        <v>5</v>
      </c>
      <c r="AJ720" t="n">
        <v>3</v>
      </c>
      <c r="AK720" t="n">
        <v>13</v>
      </c>
      <c r="AL720" t="n">
        <v>0</v>
      </c>
      <c r="AM720" t="n">
        <v>3</v>
      </c>
      <c r="AN720" t="n">
        <v>0</v>
      </c>
      <c r="AO720" t="n">
        <v>0</v>
      </c>
      <c r="AP720" t="inlineStr">
        <is>
          <t>No</t>
        </is>
      </c>
      <c r="AQ720" t="inlineStr">
        <is>
          <t>Yes</t>
        </is>
      </c>
      <c r="AR720">
        <f>HYPERLINK("http://catalog.hathitrust.org/Record/009464218","HathiTrust Record")</f>
        <v/>
      </c>
      <c r="AS720">
        <f>HYPERLINK("https://creighton-primo.hosted.exlibrisgroup.com/primo-explore/search?tab=default_tab&amp;search_scope=EVERYTHING&amp;vid=01CRU&amp;lang=en_US&amp;offset=0&amp;query=any,contains,991005036989702656","Catalog Record")</f>
        <v/>
      </c>
      <c r="AT720">
        <f>HYPERLINK("http://www.worldcat.org/oclc/69022690","WorldCat Record")</f>
        <v/>
      </c>
      <c r="AU720" t="inlineStr">
        <is>
          <t>54965058:eng</t>
        </is>
      </c>
      <c r="AV720" t="inlineStr">
        <is>
          <t>69022690</t>
        </is>
      </c>
      <c r="AW720" t="inlineStr">
        <is>
          <t>991005036989702656</t>
        </is>
      </c>
      <c r="AX720" t="inlineStr">
        <is>
          <t>991005036989702656</t>
        </is>
      </c>
      <c r="AY720" t="inlineStr">
        <is>
          <t>2262013730002656</t>
        </is>
      </c>
      <c r="AZ720" t="inlineStr">
        <is>
          <t>BOOK</t>
        </is>
      </c>
      <c r="BB720" t="inlineStr">
        <is>
          <t>9783527314522</t>
        </is>
      </c>
      <c r="BC720" t="inlineStr">
        <is>
          <t>32285005278915</t>
        </is>
      </c>
      <c r="BD720" t="inlineStr">
        <is>
          <t>893437050</t>
        </is>
      </c>
    </row>
    <row r="721">
      <c r="A721" t="inlineStr">
        <is>
          <t>No</t>
        </is>
      </c>
      <c r="B721" t="inlineStr">
        <is>
          <t>QD262 .N52 1996</t>
        </is>
      </c>
      <c r="C721" t="inlineStr">
        <is>
          <t>0                      QD 0262000N  52          1996</t>
        </is>
      </c>
      <c r="D721" t="inlineStr">
        <is>
          <t>Classics in total synthesis : targets, strategies, methods / K.C. Nicolaou and E.J. Sorensen ; with a foreword by E.J. Corey.</t>
        </is>
      </c>
      <c r="F721" t="inlineStr">
        <is>
          <t>No</t>
        </is>
      </c>
      <c r="G721" t="inlineStr">
        <is>
          <t>1</t>
        </is>
      </c>
      <c r="H721" t="inlineStr">
        <is>
          <t>No</t>
        </is>
      </c>
      <c r="I721" t="inlineStr">
        <is>
          <t>No</t>
        </is>
      </c>
      <c r="J721" t="inlineStr">
        <is>
          <t>0</t>
        </is>
      </c>
      <c r="K721" t="inlineStr">
        <is>
          <t>Nicolaou, K. C.</t>
        </is>
      </c>
      <c r="L721" t="inlineStr">
        <is>
          <t>Weinheim ; New York : VCH, c1996.</t>
        </is>
      </c>
      <c r="M721" t="inlineStr">
        <is>
          <t>1996</t>
        </is>
      </c>
      <c r="O721" t="inlineStr">
        <is>
          <t>eng</t>
        </is>
      </c>
      <c r="P721" t="inlineStr">
        <is>
          <t xml:space="preserve">gw </t>
        </is>
      </c>
      <c r="R721" t="inlineStr">
        <is>
          <t xml:space="preserve">QD </t>
        </is>
      </c>
      <c r="S721" t="n">
        <v>5</v>
      </c>
      <c r="T721" t="n">
        <v>5</v>
      </c>
      <c r="U721" t="inlineStr">
        <is>
          <t>1998-06-17</t>
        </is>
      </c>
      <c r="V721" t="inlineStr">
        <is>
          <t>1998-06-17</t>
        </is>
      </c>
      <c r="W721" t="inlineStr">
        <is>
          <t>1996-06-26</t>
        </is>
      </c>
      <c r="X721" t="inlineStr">
        <is>
          <t>1996-06-26</t>
        </is>
      </c>
      <c r="Y721" t="n">
        <v>634</v>
      </c>
      <c r="Z721" t="n">
        <v>477</v>
      </c>
      <c r="AA721" t="n">
        <v>477</v>
      </c>
      <c r="AB721" t="n">
        <v>6</v>
      </c>
      <c r="AC721" t="n">
        <v>6</v>
      </c>
      <c r="AD721" t="n">
        <v>33</v>
      </c>
      <c r="AE721" t="n">
        <v>33</v>
      </c>
      <c r="AF721" t="n">
        <v>11</v>
      </c>
      <c r="AG721" t="n">
        <v>11</v>
      </c>
      <c r="AH721" t="n">
        <v>7</v>
      </c>
      <c r="AI721" t="n">
        <v>7</v>
      </c>
      <c r="AJ721" t="n">
        <v>17</v>
      </c>
      <c r="AK721" t="n">
        <v>17</v>
      </c>
      <c r="AL721" t="n">
        <v>5</v>
      </c>
      <c r="AM721" t="n">
        <v>5</v>
      </c>
      <c r="AN721" t="n">
        <v>0</v>
      </c>
      <c r="AO721" t="n">
        <v>0</v>
      </c>
      <c r="AP721" t="inlineStr">
        <is>
          <t>No</t>
        </is>
      </c>
      <c r="AQ721" t="inlineStr">
        <is>
          <t>No</t>
        </is>
      </c>
      <c r="AS721">
        <f>HYPERLINK("https://creighton-primo.hosted.exlibrisgroup.com/primo-explore/search?tab=default_tab&amp;search_scope=EVERYTHING&amp;vid=01CRU&amp;lang=en_US&amp;offset=0&amp;query=any,contains,991002593919702656","Catalog Record")</f>
        <v/>
      </c>
      <c r="AT721">
        <f>HYPERLINK("http://www.worldcat.org/oclc/33971941","WorldCat Record")</f>
        <v/>
      </c>
      <c r="AU721" t="inlineStr">
        <is>
          <t>5091322328:eng</t>
        </is>
      </c>
      <c r="AV721" t="inlineStr">
        <is>
          <t>33971941</t>
        </is>
      </c>
      <c r="AW721" t="inlineStr">
        <is>
          <t>991002593919702656</t>
        </is>
      </c>
      <c r="AX721" t="inlineStr">
        <is>
          <t>991002593919702656</t>
        </is>
      </c>
      <c r="AY721" t="inlineStr">
        <is>
          <t>2266408820002656</t>
        </is>
      </c>
      <c r="AZ721" t="inlineStr">
        <is>
          <t>BOOK</t>
        </is>
      </c>
      <c r="BB721" t="inlineStr">
        <is>
          <t>9783527292318</t>
        </is>
      </c>
      <c r="BC721" t="inlineStr">
        <is>
          <t>32285002173705</t>
        </is>
      </c>
      <c r="BD721" t="inlineStr">
        <is>
          <t>893898956</t>
        </is>
      </c>
    </row>
    <row r="722">
      <c r="A722" t="inlineStr">
        <is>
          <t>No</t>
        </is>
      </c>
      <c r="B722" t="inlineStr">
        <is>
          <t>QD262 .N522 2003</t>
        </is>
      </c>
      <c r="C722" t="inlineStr">
        <is>
          <t>0                      QD 0262000N  522         2003</t>
        </is>
      </c>
      <c r="D722" t="inlineStr">
        <is>
          <t>Classics in total synthesis II : more targets, strategies, methods / K.C. Nicolaou and S.A. Snyder ; with a foreword by E.J. Corey.</t>
        </is>
      </c>
      <c r="F722" t="inlineStr">
        <is>
          <t>No</t>
        </is>
      </c>
      <c r="G722" t="inlineStr">
        <is>
          <t>1</t>
        </is>
      </c>
      <c r="H722" t="inlineStr">
        <is>
          <t>No</t>
        </is>
      </c>
      <c r="I722" t="inlineStr">
        <is>
          <t>No</t>
        </is>
      </c>
      <c r="J722" t="inlineStr">
        <is>
          <t>0</t>
        </is>
      </c>
      <c r="K722" t="inlineStr">
        <is>
          <t>Nicolaou, K. C.</t>
        </is>
      </c>
      <c r="L722" t="inlineStr">
        <is>
          <t>Weinheim : Wiley-VCH, c2003.</t>
        </is>
      </c>
      <c r="M722" t="inlineStr">
        <is>
          <t>2003</t>
        </is>
      </c>
      <c r="O722" t="inlineStr">
        <is>
          <t>eng</t>
        </is>
      </c>
      <c r="P722" t="inlineStr">
        <is>
          <t xml:space="preserve">gw </t>
        </is>
      </c>
      <c r="R722" t="inlineStr">
        <is>
          <t xml:space="preserve">QD </t>
        </is>
      </c>
      <c r="S722" t="n">
        <v>2</v>
      </c>
      <c r="T722" t="n">
        <v>2</v>
      </c>
      <c r="U722" t="inlineStr">
        <is>
          <t>2005-04-25</t>
        </is>
      </c>
      <c r="V722" t="inlineStr">
        <is>
          <t>2005-04-25</t>
        </is>
      </c>
      <c r="W722" t="inlineStr">
        <is>
          <t>2004-03-24</t>
        </is>
      </c>
      <c r="X722" t="inlineStr">
        <is>
          <t>2004-03-24</t>
        </is>
      </c>
      <c r="Y722" t="n">
        <v>376</v>
      </c>
      <c r="Z722" t="n">
        <v>296</v>
      </c>
      <c r="AA722" t="n">
        <v>309</v>
      </c>
      <c r="AB722" t="n">
        <v>4</v>
      </c>
      <c r="AC722" t="n">
        <v>4</v>
      </c>
      <c r="AD722" t="n">
        <v>21</v>
      </c>
      <c r="AE722" t="n">
        <v>22</v>
      </c>
      <c r="AF722" t="n">
        <v>8</v>
      </c>
      <c r="AG722" t="n">
        <v>9</v>
      </c>
      <c r="AH722" t="n">
        <v>7</v>
      </c>
      <c r="AI722" t="n">
        <v>7</v>
      </c>
      <c r="AJ722" t="n">
        <v>7</v>
      </c>
      <c r="AK722" t="n">
        <v>8</v>
      </c>
      <c r="AL722" t="n">
        <v>3</v>
      </c>
      <c r="AM722" t="n">
        <v>3</v>
      </c>
      <c r="AN722" t="n">
        <v>0</v>
      </c>
      <c r="AO722" t="n">
        <v>0</v>
      </c>
      <c r="AP722" t="inlineStr">
        <is>
          <t>No</t>
        </is>
      </c>
      <c r="AQ722" t="inlineStr">
        <is>
          <t>No</t>
        </is>
      </c>
      <c r="AS722">
        <f>HYPERLINK("https://creighton-primo.hosted.exlibrisgroup.com/primo-explore/search?tab=default_tab&amp;search_scope=EVERYTHING&amp;vid=01CRU&amp;lang=en_US&amp;offset=0&amp;query=any,contains,991004243329702656","Catalog Record")</f>
        <v/>
      </c>
      <c r="AT722">
        <f>HYPERLINK("http://www.worldcat.org/oclc/61178062","WorldCat Record")</f>
        <v/>
      </c>
      <c r="AU722" t="inlineStr">
        <is>
          <t>4928204717:eng</t>
        </is>
      </c>
      <c r="AV722" t="inlineStr">
        <is>
          <t>61178062</t>
        </is>
      </c>
      <c r="AW722" t="inlineStr">
        <is>
          <t>991004243329702656</t>
        </is>
      </c>
      <c r="AX722" t="inlineStr">
        <is>
          <t>991004243329702656</t>
        </is>
      </c>
      <c r="AY722" t="inlineStr">
        <is>
          <t>2269166360002656</t>
        </is>
      </c>
      <c r="AZ722" t="inlineStr">
        <is>
          <t>BOOK</t>
        </is>
      </c>
      <c r="BB722" t="inlineStr">
        <is>
          <t>9783527306848</t>
        </is>
      </c>
      <c r="BC722" t="inlineStr">
        <is>
          <t>32285004896501</t>
        </is>
      </c>
      <c r="BD722" t="inlineStr">
        <is>
          <t>893512999</t>
        </is>
      </c>
    </row>
    <row r="723">
      <c r="A723" t="inlineStr">
        <is>
          <t>No</t>
        </is>
      </c>
      <c r="B723" t="inlineStr">
        <is>
          <t>QD262 .O7246 1986</t>
        </is>
      </c>
      <c r="C723" t="inlineStr">
        <is>
          <t>0                      QD 0262000O  7246        1986</t>
        </is>
      </c>
      <c r="D723" t="inlineStr">
        <is>
          <t>Organic syntheses by oxidation with metal compounds / edited by W.J. Mijs and C.R.H.I. de Jonge.</t>
        </is>
      </c>
      <c r="F723" t="inlineStr">
        <is>
          <t>No</t>
        </is>
      </c>
      <c r="G723" t="inlineStr">
        <is>
          <t>1</t>
        </is>
      </c>
      <c r="H723" t="inlineStr">
        <is>
          <t>No</t>
        </is>
      </c>
      <c r="I723" t="inlineStr">
        <is>
          <t>No</t>
        </is>
      </c>
      <c r="J723" t="inlineStr">
        <is>
          <t>0</t>
        </is>
      </c>
      <c r="L723" t="inlineStr">
        <is>
          <t>New York : Plenum Press, c1986.</t>
        </is>
      </c>
      <c r="M723" t="inlineStr">
        <is>
          <t>1986</t>
        </is>
      </c>
      <c r="O723" t="inlineStr">
        <is>
          <t>eng</t>
        </is>
      </c>
      <c r="P723" t="inlineStr">
        <is>
          <t>nyu</t>
        </is>
      </c>
      <c r="R723" t="inlineStr">
        <is>
          <t xml:space="preserve">QD </t>
        </is>
      </c>
      <c r="S723" t="n">
        <v>8</v>
      </c>
      <c r="T723" t="n">
        <v>8</v>
      </c>
      <c r="U723" t="inlineStr">
        <is>
          <t>1996-11-26</t>
        </is>
      </c>
      <c r="V723" t="inlineStr">
        <is>
          <t>1996-11-26</t>
        </is>
      </c>
      <c r="W723" t="inlineStr">
        <is>
          <t>1993-05-19</t>
        </is>
      </c>
      <c r="X723" t="inlineStr">
        <is>
          <t>1993-05-19</t>
        </is>
      </c>
      <c r="Y723" t="n">
        <v>272</v>
      </c>
      <c r="Z723" t="n">
        <v>192</v>
      </c>
      <c r="AA723" t="n">
        <v>209</v>
      </c>
      <c r="AB723" t="n">
        <v>3</v>
      </c>
      <c r="AC723" t="n">
        <v>3</v>
      </c>
      <c r="AD723" t="n">
        <v>8</v>
      </c>
      <c r="AE723" t="n">
        <v>9</v>
      </c>
      <c r="AF723" t="n">
        <v>2</v>
      </c>
      <c r="AG723" t="n">
        <v>3</v>
      </c>
      <c r="AH723" t="n">
        <v>2</v>
      </c>
      <c r="AI723" t="n">
        <v>2</v>
      </c>
      <c r="AJ723" t="n">
        <v>3</v>
      </c>
      <c r="AK723" t="n">
        <v>4</v>
      </c>
      <c r="AL723" t="n">
        <v>2</v>
      </c>
      <c r="AM723" t="n">
        <v>2</v>
      </c>
      <c r="AN723" t="n">
        <v>0</v>
      </c>
      <c r="AO723" t="n">
        <v>0</v>
      </c>
      <c r="AP723" t="inlineStr">
        <is>
          <t>No</t>
        </is>
      </c>
      <c r="AQ723" t="inlineStr">
        <is>
          <t>No</t>
        </is>
      </c>
      <c r="AS723">
        <f>HYPERLINK("https://creighton-primo.hosted.exlibrisgroup.com/primo-explore/search?tab=default_tab&amp;search_scope=EVERYTHING&amp;vid=01CRU&amp;lang=en_US&amp;offset=0&amp;query=any,contains,991000821759702656","Catalog Record")</f>
        <v/>
      </c>
      <c r="AT723">
        <f>HYPERLINK("http://www.worldcat.org/oclc/13395714","WorldCat Record")</f>
        <v/>
      </c>
      <c r="AU723" t="inlineStr">
        <is>
          <t>350161760:eng</t>
        </is>
      </c>
      <c r="AV723" t="inlineStr">
        <is>
          <t>13395714</t>
        </is>
      </c>
      <c r="AW723" t="inlineStr">
        <is>
          <t>991000821759702656</t>
        </is>
      </c>
      <c r="AX723" t="inlineStr">
        <is>
          <t>991000821759702656</t>
        </is>
      </c>
      <c r="AY723" t="inlineStr">
        <is>
          <t>2262005230002656</t>
        </is>
      </c>
      <c r="AZ723" t="inlineStr">
        <is>
          <t>BOOK</t>
        </is>
      </c>
      <c r="BB723" t="inlineStr">
        <is>
          <t>9780306419997</t>
        </is>
      </c>
      <c r="BC723" t="inlineStr">
        <is>
          <t>32285001690071</t>
        </is>
      </c>
      <c r="BD723" t="inlineStr">
        <is>
          <t>893243624</t>
        </is>
      </c>
    </row>
    <row r="724">
      <c r="A724" t="inlineStr">
        <is>
          <t>No</t>
        </is>
      </c>
      <c r="B724" t="inlineStr">
        <is>
          <t>QD262 .O745 2002</t>
        </is>
      </c>
      <c r="C724" t="inlineStr">
        <is>
          <t>0                      QD 0262000O  745         2002</t>
        </is>
      </c>
      <c r="D724" t="inlineStr">
        <is>
          <t>Organometallics in synthesis : a manual / edited by Manfred Schlosser.</t>
        </is>
      </c>
      <c r="F724" t="inlineStr">
        <is>
          <t>No</t>
        </is>
      </c>
      <c r="G724" t="inlineStr">
        <is>
          <t>1</t>
        </is>
      </c>
      <c r="H724" t="inlineStr">
        <is>
          <t>No</t>
        </is>
      </c>
      <c r="I724" t="inlineStr">
        <is>
          <t>No</t>
        </is>
      </c>
      <c r="J724" t="inlineStr">
        <is>
          <t>0</t>
        </is>
      </c>
      <c r="L724" t="inlineStr">
        <is>
          <t>Chichester, West Sussex, England ; New York : Wiley, c2002.</t>
        </is>
      </c>
      <c r="M724" t="inlineStr">
        <is>
          <t>2002</t>
        </is>
      </c>
      <c r="N724" t="inlineStr">
        <is>
          <t>2nd ed.</t>
        </is>
      </c>
      <c r="O724" t="inlineStr">
        <is>
          <t>eng</t>
        </is>
      </c>
      <c r="P724" t="inlineStr">
        <is>
          <t>enk</t>
        </is>
      </c>
      <c r="R724" t="inlineStr">
        <is>
          <t xml:space="preserve">QD </t>
        </is>
      </c>
      <c r="S724" t="n">
        <v>1</v>
      </c>
      <c r="T724" t="n">
        <v>1</v>
      </c>
      <c r="U724" t="inlineStr">
        <is>
          <t>2003-03-19</t>
        </is>
      </c>
      <c r="V724" t="inlineStr">
        <is>
          <t>2003-03-19</t>
        </is>
      </c>
      <c r="W724" t="inlineStr">
        <is>
          <t>2003-03-19</t>
        </is>
      </c>
      <c r="X724" t="inlineStr">
        <is>
          <t>2003-03-19</t>
        </is>
      </c>
      <c r="Y724" t="n">
        <v>233</v>
      </c>
      <c r="Z724" t="n">
        <v>136</v>
      </c>
      <c r="AA724" t="n">
        <v>1012</v>
      </c>
      <c r="AB724" t="n">
        <v>2</v>
      </c>
      <c r="AC724" t="n">
        <v>6</v>
      </c>
      <c r="AD724" t="n">
        <v>11</v>
      </c>
      <c r="AE724" t="n">
        <v>47</v>
      </c>
      <c r="AF724" t="n">
        <v>5</v>
      </c>
      <c r="AG724" t="n">
        <v>19</v>
      </c>
      <c r="AH724" t="n">
        <v>2</v>
      </c>
      <c r="AI724" t="n">
        <v>11</v>
      </c>
      <c r="AJ724" t="n">
        <v>8</v>
      </c>
      <c r="AK724" t="n">
        <v>24</v>
      </c>
      <c r="AL724" t="n">
        <v>1</v>
      </c>
      <c r="AM724" t="n">
        <v>5</v>
      </c>
      <c r="AN724" t="n">
        <v>0</v>
      </c>
      <c r="AO724" t="n">
        <v>1</v>
      </c>
      <c r="AP724" t="inlineStr">
        <is>
          <t>No</t>
        </is>
      </c>
      <c r="AQ724" t="inlineStr">
        <is>
          <t>No</t>
        </is>
      </c>
      <c r="AS724">
        <f>HYPERLINK("https://creighton-primo.hosted.exlibrisgroup.com/primo-explore/search?tab=default_tab&amp;search_scope=EVERYTHING&amp;vid=01CRU&amp;lang=en_US&amp;offset=0&amp;query=any,contains,991003999269702656","Catalog Record")</f>
        <v/>
      </c>
      <c r="AT724">
        <f>HYPERLINK("http://www.worldcat.org/oclc/50285171","WorldCat Record")</f>
        <v/>
      </c>
      <c r="AU724" t="inlineStr">
        <is>
          <t>4915312000:eng</t>
        </is>
      </c>
      <c r="AV724" t="inlineStr">
        <is>
          <t>50285171</t>
        </is>
      </c>
      <c r="AW724" t="inlineStr">
        <is>
          <t>991003999269702656</t>
        </is>
      </c>
      <c r="AX724" t="inlineStr">
        <is>
          <t>991003999269702656</t>
        </is>
      </c>
      <c r="AY724" t="inlineStr">
        <is>
          <t>2262079970002656</t>
        </is>
      </c>
      <c r="AZ724" t="inlineStr">
        <is>
          <t>BOOK</t>
        </is>
      </c>
      <c r="BB724" t="inlineStr">
        <is>
          <t>9780471984160</t>
        </is>
      </c>
      <c r="BC724" t="inlineStr">
        <is>
          <t>32285004685557</t>
        </is>
      </c>
      <c r="BD724" t="inlineStr">
        <is>
          <t>893234932</t>
        </is>
      </c>
    </row>
    <row r="725">
      <c r="A725" t="inlineStr">
        <is>
          <t>No</t>
        </is>
      </c>
      <c r="B725" t="inlineStr">
        <is>
          <t>QD262 .P325 2010</t>
        </is>
      </c>
      <c r="C725" t="inlineStr">
        <is>
          <t>0                      QD 0262000P  325         2010</t>
        </is>
      </c>
      <c r="D725" t="inlineStr">
        <is>
          <t>Problems in organic synthesis / Hasan Palandoken, Michael H. Nantz, George S. Zweifel.</t>
        </is>
      </c>
      <c r="F725" t="inlineStr">
        <is>
          <t>No</t>
        </is>
      </c>
      <c r="G725" t="inlineStr">
        <is>
          <t>1</t>
        </is>
      </c>
      <c r="H725" t="inlineStr">
        <is>
          <t>No</t>
        </is>
      </c>
      <c r="I725" t="inlineStr">
        <is>
          <t>No</t>
        </is>
      </c>
      <c r="J725" t="inlineStr">
        <is>
          <t>0</t>
        </is>
      </c>
      <c r="K725" t="inlineStr">
        <is>
          <t>Palandoken, Hasan.</t>
        </is>
      </c>
      <c r="L725" t="inlineStr">
        <is>
          <t>New York : W. H. Freeman &amp; Co., c2010.</t>
        </is>
      </c>
      <c r="M725" t="inlineStr">
        <is>
          <t>2010</t>
        </is>
      </c>
      <c r="O725" t="inlineStr">
        <is>
          <t>eng</t>
        </is>
      </c>
      <c r="P725" t="inlineStr">
        <is>
          <t>nyu</t>
        </is>
      </c>
      <c r="R725" t="inlineStr">
        <is>
          <t xml:space="preserve">QD </t>
        </is>
      </c>
      <c r="S725" t="n">
        <v>1</v>
      </c>
      <c r="T725" t="n">
        <v>1</v>
      </c>
      <c r="U725" t="inlineStr">
        <is>
          <t>2010-12-16</t>
        </is>
      </c>
      <c r="V725" t="inlineStr">
        <is>
          <t>2010-12-16</t>
        </is>
      </c>
      <c r="W725" t="inlineStr">
        <is>
          <t>2010-12-16</t>
        </is>
      </c>
      <c r="X725" t="inlineStr">
        <is>
          <t>2010-12-16</t>
        </is>
      </c>
      <c r="Y725" t="n">
        <v>32</v>
      </c>
      <c r="Z725" t="n">
        <v>22</v>
      </c>
      <c r="AA725" t="n">
        <v>22</v>
      </c>
      <c r="AB725" t="n">
        <v>1</v>
      </c>
      <c r="AC725" t="n">
        <v>1</v>
      </c>
      <c r="AD725" t="n">
        <v>0</v>
      </c>
      <c r="AE725" t="n">
        <v>0</v>
      </c>
      <c r="AF725" t="n">
        <v>0</v>
      </c>
      <c r="AG725" t="n">
        <v>0</v>
      </c>
      <c r="AH725" t="n">
        <v>0</v>
      </c>
      <c r="AI725" t="n">
        <v>0</v>
      </c>
      <c r="AJ725" t="n">
        <v>0</v>
      </c>
      <c r="AK725" t="n">
        <v>0</v>
      </c>
      <c r="AL725" t="n">
        <v>0</v>
      </c>
      <c r="AM725" t="n">
        <v>0</v>
      </c>
      <c r="AN725" t="n">
        <v>0</v>
      </c>
      <c r="AO725" t="n">
        <v>0</v>
      </c>
      <c r="AP725" t="inlineStr">
        <is>
          <t>No</t>
        </is>
      </c>
      <c r="AQ725" t="inlineStr">
        <is>
          <t>No</t>
        </is>
      </c>
      <c r="AS725">
        <f>HYPERLINK("https://creighton-primo.hosted.exlibrisgroup.com/primo-explore/search?tab=default_tab&amp;search_scope=EVERYTHING&amp;vid=01CRU&amp;lang=en_US&amp;offset=0&amp;query=any,contains,991000388869702656","Catalog Record")</f>
        <v/>
      </c>
      <c r="AT725">
        <f>HYPERLINK("http://www.worldcat.org/oclc/475458296","WorldCat Record")</f>
        <v/>
      </c>
      <c r="AU725" t="inlineStr">
        <is>
          <t>522740269:eng</t>
        </is>
      </c>
      <c r="AV725" t="inlineStr">
        <is>
          <t>475458296</t>
        </is>
      </c>
      <c r="AW725" t="inlineStr">
        <is>
          <t>991000388869702656</t>
        </is>
      </c>
      <c r="AX725" t="inlineStr">
        <is>
          <t>991000388869702656</t>
        </is>
      </c>
      <c r="AY725" t="inlineStr">
        <is>
          <t>2270827820002656</t>
        </is>
      </c>
      <c r="AZ725" t="inlineStr">
        <is>
          <t>BOOK</t>
        </is>
      </c>
      <c r="BB725" t="inlineStr">
        <is>
          <t>9781429255929</t>
        </is>
      </c>
      <c r="BC725" t="inlineStr">
        <is>
          <t>32285005651756</t>
        </is>
      </c>
      <c r="BD725" t="inlineStr">
        <is>
          <t>893339500</t>
        </is>
      </c>
    </row>
    <row r="726">
      <c r="A726" t="inlineStr">
        <is>
          <t>No</t>
        </is>
      </c>
      <c r="B726" t="inlineStr">
        <is>
          <t>QD262 .S23 1983, v...</t>
        </is>
      </c>
      <c r="C726" t="inlineStr">
        <is>
          <t>0                      QD 0262000S  23          1983                                        v...</t>
        </is>
      </c>
      <c r="D726" t="inlineStr">
        <is>
          <t>Organic functional group preparations / Stanley R. Sandler, Wolf Karo.</t>
        </is>
      </c>
      <c r="E726" t="inlineStr">
        <is>
          <t>V.1</t>
        </is>
      </c>
      <c r="F726" t="inlineStr">
        <is>
          <t>Yes</t>
        </is>
      </c>
      <c r="G726" t="inlineStr">
        <is>
          <t>1</t>
        </is>
      </c>
      <c r="H726" t="inlineStr">
        <is>
          <t>No</t>
        </is>
      </c>
      <c r="I726" t="inlineStr">
        <is>
          <t>No</t>
        </is>
      </c>
      <c r="J726" t="inlineStr">
        <is>
          <t>0</t>
        </is>
      </c>
      <c r="K726" t="inlineStr">
        <is>
          <t>Sandler, Stanley R., 1935-</t>
        </is>
      </c>
      <c r="L726" t="inlineStr">
        <is>
          <t>New York : Academic Press, c1983-</t>
        </is>
      </c>
      <c r="M726" t="inlineStr">
        <is>
          <t>1983</t>
        </is>
      </c>
      <c r="N726" t="inlineStr">
        <is>
          <t>2nd ed.</t>
        </is>
      </c>
      <c r="O726" t="inlineStr">
        <is>
          <t>eng</t>
        </is>
      </c>
      <c r="P726" t="inlineStr">
        <is>
          <t>nyu</t>
        </is>
      </c>
      <c r="Q726" t="inlineStr">
        <is>
          <t>Organic chemistry ; v. 12</t>
        </is>
      </c>
      <c r="R726" t="inlineStr">
        <is>
          <t xml:space="preserve">QD </t>
        </is>
      </c>
      <c r="S726" t="n">
        <v>7</v>
      </c>
      <c r="T726" t="n">
        <v>21</v>
      </c>
      <c r="U726" t="inlineStr">
        <is>
          <t>1997-04-30</t>
        </is>
      </c>
      <c r="V726" t="inlineStr">
        <is>
          <t>1997-04-30</t>
        </is>
      </c>
      <c r="W726" t="inlineStr">
        <is>
          <t>1992-03-17</t>
        </is>
      </c>
      <c r="X726" t="inlineStr">
        <is>
          <t>1992-03-17</t>
        </is>
      </c>
      <c r="Y726" t="n">
        <v>511</v>
      </c>
      <c r="Z726" t="n">
        <v>415</v>
      </c>
      <c r="AA726" t="n">
        <v>490</v>
      </c>
      <c r="AB726" t="n">
        <v>4</v>
      </c>
      <c r="AC726" t="n">
        <v>5</v>
      </c>
      <c r="AD726" t="n">
        <v>20</v>
      </c>
      <c r="AE726" t="n">
        <v>24</v>
      </c>
      <c r="AF726" t="n">
        <v>3</v>
      </c>
      <c r="AG726" t="n">
        <v>5</v>
      </c>
      <c r="AH726" t="n">
        <v>7</v>
      </c>
      <c r="AI726" t="n">
        <v>7</v>
      </c>
      <c r="AJ726" t="n">
        <v>11</v>
      </c>
      <c r="AK726" t="n">
        <v>14</v>
      </c>
      <c r="AL726" t="n">
        <v>3</v>
      </c>
      <c r="AM726" t="n">
        <v>4</v>
      </c>
      <c r="AN726" t="n">
        <v>0</v>
      </c>
      <c r="AO726" t="n">
        <v>0</v>
      </c>
      <c r="AP726" t="inlineStr">
        <is>
          <t>No</t>
        </is>
      </c>
      <c r="AQ726" t="inlineStr">
        <is>
          <t>Yes</t>
        </is>
      </c>
      <c r="AR726">
        <f>HYPERLINK("http://catalog.hathitrust.org/Record/000163269","HathiTrust Record")</f>
        <v/>
      </c>
      <c r="AS726">
        <f>HYPERLINK("https://creighton-primo.hosted.exlibrisgroup.com/primo-explore/search?tab=default_tab&amp;search_scope=EVERYTHING&amp;vid=01CRU&amp;lang=en_US&amp;offset=0&amp;query=any,contains,991000150069702656","Catalog Record")</f>
        <v/>
      </c>
      <c r="AT726">
        <f>HYPERLINK("http://www.worldcat.org/oclc/9197710","WorldCat Record")</f>
        <v/>
      </c>
      <c r="AU726" t="inlineStr">
        <is>
          <t>1366522:eng</t>
        </is>
      </c>
      <c r="AV726" t="inlineStr">
        <is>
          <t>9197710</t>
        </is>
      </c>
      <c r="AW726" t="inlineStr">
        <is>
          <t>991000150069702656</t>
        </is>
      </c>
      <c r="AX726" t="inlineStr">
        <is>
          <t>991000150069702656</t>
        </is>
      </c>
      <c r="AY726" t="inlineStr">
        <is>
          <t>2265793430002656</t>
        </is>
      </c>
      <c r="AZ726" t="inlineStr">
        <is>
          <t>BOOK</t>
        </is>
      </c>
      <c r="BB726" t="inlineStr">
        <is>
          <t>9780126186017</t>
        </is>
      </c>
      <c r="BC726" t="inlineStr">
        <is>
          <t>32285001022556</t>
        </is>
      </c>
      <c r="BD726" t="inlineStr">
        <is>
          <t>893534062</t>
        </is>
      </c>
    </row>
    <row r="727">
      <c r="A727" t="inlineStr">
        <is>
          <t>No</t>
        </is>
      </c>
      <c r="B727" t="inlineStr">
        <is>
          <t>QD262 .S23 1983, v...</t>
        </is>
      </c>
      <c r="C727" t="inlineStr">
        <is>
          <t>0                      QD 0262000S  23          1983                                        v...</t>
        </is>
      </c>
      <c r="D727" t="inlineStr">
        <is>
          <t>Organic functional group preparations / Stanley R. Sandler, Wolf Karo.</t>
        </is>
      </c>
      <c r="E727" t="inlineStr">
        <is>
          <t>V.2</t>
        </is>
      </c>
      <c r="F727" t="inlineStr">
        <is>
          <t>Yes</t>
        </is>
      </c>
      <c r="G727" t="inlineStr">
        <is>
          <t>1</t>
        </is>
      </c>
      <c r="H727" t="inlineStr">
        <is>
          <t>No</t>
        </is>
      </c>
      <c r="I727" t="inlineStr">
        <is>
          <t>No</t>
        </is>
      </c>
      <c r="J727" t="inlineStr">
        <is>
          <t>0</t>
        </is>
      </c>
      <c r="K727" t="inlineStr">
        <is>
          <t>Sandler, Stanley R., 1935-</t>
        </is>
      </c>
      <c r="L727" t="inlineStr">
        <is>
          <t>New York : Academic Press, c1983-</t>
        </is>
      </c>
      <c r="M727" t="inlineStr">
        <is>
          <t>1983</t>
        </is>
      </c>
      <c r="N727" t="inlineStr">
        <is>
          <t>2nd ed.</t>
        </is>
      </c>
      <c r="O727" t="inlineStr">
        <is>
          <t>eng</t>
        </is>
      </c>
      <c r="P727" t="inlineStr">
        <is>
          <t>nyu</t>
        </is>
      </c>
      <c r="Q727" t="inlineStr">
        <is>
          <t>Organic chemistry ; v. 12</t>
        </is>
      </c>
      <c r="R727" t="inlineStr">
        <is>
          <t xml:space="preserve">QD </t>
        </is>
      </c>
      <c r="S727" t="n">
        <v>7</v>
      </c>
      <c r="T727" t="n">
        <v>21</v>
      </c>
      <c r="U727" t="inlineStr">
        <is>
          <t>1997-04-30</t>
        </is>
      </c>
      <c r="V727" t="inlineStr">
        <is>
          <t>1997-04-30</t>
        </is>
      </c>
      <c r="W727" t="inlineStr">
        <is>
          <t>1992-03-17</t>
        </is>
      </c>
      <c r="X727" t="inlineStr">
        <is>
          <t>1992-03-17</t>
        </is>
      </c>
      <c r="Y727" t="n">
        <v>511</v>
      </c>
      <c r="Z727" t="n">
        <v>415</v>
      </c>
      <c r="AA727" t="n">
        <v>490</v>
      </c>
      <c r="AB727" t="n">
        <v>4</v>
      </c>
      <c r="AC727" t="n">
        <v>5</v>
      </c>
      <c r="AD727" t="n">
        <v>20</v>
      </c>
      <c r="AE727" t="n">
        <v>24</v>
      </c>
      <c r="AF727" t="n">
        <v>3</v>
      </c>
      <c r="AG727" t="n">
        <v>5</v>
      </c>
      <c r="AH727" t="n">
        <v>7</v>
      </c>
      <c r="AI727" t="n">
        <v>7</v>
      </c>
      <c r="AJ727" t="n">
        <v>11</v>
      </c>
      <c r="AK727" t="n">
        <v>14</v>
      </c>
      <c r="AL727" t="n">
        <v>3</v>
      </c>
      <c r="AM727" t="n">
        <v>4</v>
      </c>
      <c r="AN727" t="n">
        <v>0</v>
      </c>
      <c r="AO727" t="n">
        <v>0</v>
      </c>
      <c r="AP727" t="inlineStr">
        <is>
          <t>No</t>
        </is>
      </c>
      <c r="AQ727" t="inlineStr">
        <is>
          <t>Yes</t>
        </is>
      </c>
      <c r="AR727">
        <f>HYPERLINK("http://catalog.hathitrust.org/Record/000163269","HathiTrust Record")</f>
        <v/>
      </c>
      <c r="AS727">
        <f>HYPERLINK("https://creighton-primo.hosted.exlibrisgroup.com/primo-explore/search?tab=default_tab&amp;search_scope=EVERYTHING&amp;vid=01CRU&amp;lang=en_US&amp;offset=0&amp;query=any,contains,991000150069702656","Catalog Record")</f>
        <v/>
      </c>
      <c r="AT727">
        <f>HYPERLINK("http://www.worldcat.org/oclc/9197710","WorldCat Record")</f>
        <v/>
      </c>
      <c r="AU727" t="inlineStr">
        <is>
          <t>1366522:eng</t>
        </is>
      </c>
      <c r="AV727" t="inlineStr">
        <is>
          <t>9197710</t>
        </is>
      </c>
      <c r="AW727" t="inlineStr">
        <is>
          <t>991000150069702656</t>
        </is>
      </c>
      <c r="AX727" t="inlineStr">
        <is>
          <t>991000150069702656</t>
        </is>
      </c>
      <c r="AY727" t="inlineStr">
        <is>
          <t>2265793430002656</t>
        </is>
      </c>
      <c r="AZ727" t="inlineStr">
        <is>
          <t>BOOK</t>
        </is>
      </c>
      <c r="BB727" t="inlineStr">
        <is>
          <t>9780126186017</t>
        </is>
      </c>
      <c r="BC727" t="inlineStr">
        <is>
          <t>32285001022564</t>
        </is>
      </c>
      <c r="BD727" t="inlineStr">
        <is>
          <t>893534061</t>
        </is>
      </c>
    </row>
    <row r="728">
      <c r="A728" t="inlineStr">
        <is>
          <t>No</t>
        </is>
      </c>
      <c r="B728" t="inlineStr">
        <is>
          <t>QD262 .S23 1983, v...</t>
        </is>
      </c>
      <c r="C728" t="inlineStr">
        <is>
          <t>0                      QD 0262000S  23          1983                                        v...</t>
        </is>
      </c>
      <c r="D728" t="inlineStr">
        <is>
          <t>Organic functional group preparations / Stanley R. Sandler, Wolf Karo.</t>
        </is>
      </c>
      <c r="E728" t="inlineStr">
        <is>
          <t>V.3</t>
        </is>
      </c>
      <c r="F728" t="inlineStr">
        <is>
          <t>Yes</t>
        </is>
      </c>
      <c r="G728" t="inlineStr">
        <is>
          <t>1</t>
        </is>
      </c>
      <c r="H728" t="inlineStr">
        <is>
          <t>No</t>
        </is>
      </c>
      <c r="I728" t="inlineStr">
        <is>
          <t>No</t>
        </is>
      </c>
      <c r="J728" t="inlineStr">
        <is>
          <t>0</t>
        </is>
      </c>
      <c r="K728" t="inlineStr">
        <is>
          <t>Sandler, Stanley R., 1935-</t>
        </is>
      </c>
      <c r="L728" t="inlineStr">
        <is>
          <t>New York : Academic Press, c1983-</t>
        </is>
      </c>
      <c r="M728" t="inlineStr">
        <is>
          <t>1983</t>
        </is>
      </c>
      <c r="N728" t="inlineStr">
        <is>
          <t>2nd ed.</t>
        </is>
      </c>
      <c r="O728" t="inlineStr">
        <is>
          <t>eng</t>
        </is>
      </c>
      <c r="P728" t="inlineStr">
        <is>
          <t>nyu</t>
        </is>
      </c>
      <c r="Q728" t="inlineStr">
        <is>
          <t>Organic chemistry ; v. 12</t>
        </is>
      </c>
      <c r="R728" t="inlineStr">
        <is>
          <t xml:space="preserve">QD </t>
        </is>
      </c>
      <c r="S728" t="n">
        <v>7</v>
      </c>
      <c r="T728" t="n">
        <v>21</v>
      </c>
      <c r="U728" t="inlineStr">
        <is>
          <t>1997-04-30</t>
        </is>
      </c>
      <c r="V728" t="inlineStr">
        <is>
          <t>1997-04-30</t>
        </is>
      </c>
      <c r="W728" t="inlineStr">
        <is>
          <t>1992-03-17</t>
        </is>
      </c>
      <c r="X728" t="inlineStr">
        <is>
          <t>1992-03-17</t>
        </is>
      </c>
      <c r="Y728" t="n">
        <v>511</v>
      </c>
      <c r="Z728" t="n">
        <v>415</v>
      </c>
      <c r="AA728" t="n">
        <v>490</v>
      </c>
      <c r="AB728" t="n">
        <v>4</v>
      </c>
      <c r="AC728" t="n">
        <v>5</v>
      </c>
      <c r="AD728" t="n">
        <v>20</v>
      </c>
      <c r="AE728" t="n">
        <v>24</v>
      </c>
      <c r="AF728" t="n">
        <v>3</v>
      </c>
      <c r="AG728" t="n">
        <v>5</v>
      </c>
      <c r="AH728" t="n">
        <v>7</v>
      </c>
      <c r="AI728" t="n">
        <v>7</v>
      </c>
      <c r="AJ728" t="n">
        <v>11</v>
      </c>
      <c r="AK728" t="n">
        <v>14</v>
      </c>
      <c r="AL728" t="n">
        <v>3</v>
      </c>
      <c r="AM728" t="n">
        <v>4</v>
      </c>
      <c r="AN728" t="n">
        <v>0</v>
      </c>
      <c r="AO728" t="n">
        <v>0</v>
      </c>
      <c r="AP728" t="inlineStr">
        <is>
          <t>No</t>
        </is>
      </c>
      <c r="AQ728" t="inlineStr">
        <is>
          <t>Yes</t>
        </is>
      </c>
      <c r="AR728">
        <f>HYPERLINK("http://catalog.hathitrust.org/Record/000163269","HathiTrust Record")</f>
        <v/>
      </c>
      <c r="AS728">
        <f>HYPERLINK("https://creighton-primo.hosted.exlibrisgroup.com/primo-explore/search?tab=default_tab&amp;search_scope=EVERYTHING&amp;vid=01CRU&amp;lang=en_US&amp;offset=0&amp;query=any,contains,991000150069702656","Catalog Record")</f>
        <v/>
      </c>
      <c r="AT728">
        <f>HYPERLINK("http://www.worldcat.org/oclc/9197710","WorldCat Record")</f>
        <v/>
      </c>
      <c r="AU728" t="inlineStr">
        <is>
          <t>1366522:eng</t>
        </is>
      </c>
      <c r="AV728" t="inlineStr">
        <is>
          <t>9197710</t>
        </is>
      </c>
      <c r="AW728" t="inlineStr">
        <is>
          <t>991000150069702656</t>
        </is>
      </c>
      <c r="AX728" t="inlineStr">
        <is>
          <t>991000150069702656</t>
        </is>
      </c>
      <c r="AY728" t="inlineStr">
        <is>
          <t>2265793430002656</t>
        </is>
      </c>
      <c r="AZ728" t="inlineStr">
        <is>
          <t>BOOK</t>
        </is>
      </c>
      <c r="BB728" t="inlineStr">
        <is>
          <t>9780126186017</t>
        </is>
      </c>
      <c r="BC728" t="inlineStr">
        <is>
          <t>32285001022572</t>
        </is>
      </c>
      <c r="BD728" t="inlineStr">
        <is>
          <t>893534063</t>
        </is>
      </c>
    </row>
    <row r="729">
      <c r="A729" t="inlineStr">
        <is>
          <t>No</t>
        </is>
      </c>
      <c r="B729" t="inlineStr">
        <is>
          <t>QD262 .S43 2004</t>
        </is>
      </c>
      <c r="C729" t="inlineStr">
        <is>
          <t>0                      QD 0262000S  43          2004</t>
        </is>
      </c>
      <c r="D729" t="inlineStr">
        <is>
          <t>Dead ends and detours : direct ways to successful total synthesis / Miguel A. Sierra, Maria C. de la Torre ; with a foreword by K.C. Nicolaou.</t>
        </is>
      </c>
      <c r="F729" t="inlineStr">
        <is>
          <t>No</t>
        </is>
      </c>
      <c r="G729" t="inlineStr">
        <is>
          <t>1</t>
        </is>
      </c>
      <c r="H729" t="inlineStr">
        <is>
          <t>No</t>
        </is>
      </c>
      <c r="I729" t="inlineStr">
        <is>
          <t>No</t>
        </is>
      </c>
      <c r="J729" t="inlineStr">
        <is>
          <t>0</t>
        </is>
      </c>
      <c r="K729" t="inlineStr">
        <is>
          <t>Sierra, Miguel A. (Miguel Angel)</t>
        </is>
      </c>
      <c r="L729" t="inlineStr">
        <is>
          <t>Weinheim : Wiley-VCH, c2004.</t>
        </is>
      </c>
      <c r="M729" t="inlineStr">
        <is>
          <t>2004</t>
        </is>
      </c>
      <c r="O729" t="inlineStr">
        <is>
          <t>eng</t>
        </is>
      </c>
      <c r="P729" t="inlineStr">
        <is>
          <t xml:space="preserve">gw </t>
        </is>
      </c>
      <c r="R729" t="inlineStr">
        <is>
          <t xml:space="preserve">QD </t>
        </is>
      </c>
      <c r="S729" t="n">
        <v>1</v>
      </c>
      <c r="T729" t="n">
        <v>1</v>
      </c>
      <c r="U729" t="inlineStr">
        <is>
          <t>2005-05-17</t>
        </is>
      </c>
      <c r="V729" t="inlineStr">
        <is>
          <t>2005-05-17</t>
        </is>
      </c>
      <c r="W729" t="inlineStr">
        <is>
          <t>2005-05-17</t>
        </is>
      </c>
      <c r="X729" t="inlineStr">
        <is>
          <t>2005-05-17</t>
        </is>
      </c>
      <c r="Y729" t="n">
        <v>346</v>
      </c>
      <c r="Z729" t="n">
        <v>274</v>
      </c>
      <c r="AA729" t="n">
        <v>275</v>
      </c>
      <c r="AB729" t="n">
        <v>4</v>
      </c>
      <c r="AC729" t="n">
        <v>4</v>
      </c>
      <c r="AD729" t="n">
        <v>17</v>
      </c>
      <c r="AE729" t="n">
        <v>17</v>
      </c>
      <c r="AF729" t="n">
        <v>2</v>
      </c>
      <c r="AG729" t="n">
        <v>2</v>
      </c>
      <c r="AH729" t="n">
        <v>6</v>
      </c>
      <c r="AI729" t="n">
        <v>6</v>
      </c>
      <c r="AJ729" t="n">
        <v>10</v>
      </c>
      <c r="AK729" t="n">
        <v>10</v>
      </c>
      <c r="AL729" t="n">
        <v>3</v>
      </c>
      <c r="AM729" t="n">
        <v>3</v>
      </c>
      <c r="AN729" t="n">
        <v>0</v>
      </c>
      <c r="AO729" t="n">
        <v>0</v>
      </c>
      <c r="AP729" t="inlineStr">
        <is>
          <t>No</t>
        </is>
      </c>
      <c r="AQ729" t="inlineStr">
        <is>
          <t>Yes</t>
        </is>
      </c>
      <c r="AR729">
        <f>HYPERLINK("http://catalog.hathitrust.org/Record/004940737","HathiTrust Record")</f>
        <v/>
      </c>
      <c r="AS729">
        <f>HYPERLINK("https://creighton-primo.hosted.exlibrisgroup.com/primo-explore/search?tab=default_tab&amp;search_scope=EVERYTHING&amp;vid=01CRU&amp;lang=en_US&amp;offset=0&amp;query=any,contains,991004469479702656","Catalog Record")</f>
        <v/>
      </c>
      <c r="AT729">
        <f>HYPERLINK("http://www.worldcat.org/oclc/57282865","WorldCat Record")</f>
        <v/>
      </c>
      <c r="AU729" t="inlineStr">
        <is>
          <t>145786058:eng</t>
        </is>
      </c>
      <c r="AV729" t="inlineStr">
        <is>
          <t>57282865</t>
        </is>
      </c>
      <c r="AW729" t="inlineStr">
        <is>
          <t>991004469479702656</t>
        </is>
      </c>
      <c r="AX729" t="inlineStr">
        <is>
          <t>991004469479702656</t>
        </is>
      </c>
      <c r="AY729" t="inlineStr">
        <is>
          <t>2269718280002656</t>
        </is>
      </c>
      <c r="AZ729" t="inlineStr">
        <is>
          <t>BOOK</t>
        </is>
      </c>
      <c r="BB729" t="inlineStr">
        <is>
          <t>9783527306442</t>
        </is>
      </c>
      <c r="BC729" t="inlineStr">
        <is>
          <t>32285005037980</t>
        </is>
      </c>
      <c r="BD729" t="inlineStr">
        <is>
          <t>893788726</t>
        </is>
      </c>
    </row>
    <row r="730">
      <c r="A730" t="inlineStr">
        <is>
          <t>No</t>
        </is>
      </c>
      <c r="B730" t="inlineStr">
        <is>
          <t>QD262 .S85 2005 v. 6</t>
        </is>
      </c>
      <c r="C730" t="inlineStr">
        <is>
          <t>0                      QD 0262000S  85          2005                                        v. 6</t>
        </is>
      </c>
      <c r="D730" t="inlineStr">
        <is>
          <t>Strategies and tactics in organic synthesis. Vol. 6 / edited by Michael Harmata ; with a foreword by Paul A. Wender.</t>
        </is>
      </c>
      <c r="E730" t="inlineStr">
        <is>
          <t>V. 6</t>
        </is>
      </c>
      <c r="F730" t="inlineStr">
        <is>
          <t>No</t>
        </is>
      </c>
      <c r="G730" t="inlineStr">
        <is>
          <t>1</t>
        </is>
      </c>
      <c r="H730" t="inlineStr">
        <is>
          <t>No</t>
        </is>
      </c>
      <c r="I730" t="inlineStr">
        <is>
          <t>No</t>
        </is>
      </c>
      <c r="J730" t="inlineStr">
        <is>
          <t>0</t>
        </is>
      </c>
      <c r="L730" t="inlineStr">
        <is>
          <t>Amsterdam ; San Diego, CA ; Oxford : Elsevier, 2005.</t>
        </is>
      </c>
      <c r="M730" t="inlineStr">
        <is>
          <t>2005</t>
        </is>
      </c>
      <c r="N730" t="inlineStr">
        <is>
          <t>1st ed.</t>
        </is>
      </c>
      <c r="O730" t="inlineStr">
        <is>
          <t>eng</t>
        </is>
      </c>
      <c r="P730" t="inlineStr">
        <is>
          <t xml:space="preserve">ne </t>
        </is>
      </c>
      <c r="R730" t="inlineStr">
        <is>
          <t xml:space="preserve">QD </t>
        </is>
      </c>
      <c r="S730" t="n">
        <v>1</v>
      </c>
      <c r="T730" t="n">
        <v>1</v>
      </c>
      <c r="U730" t="inlineStr">
        <is>
          <t>2006-03-16</t>
        </is>
      </c>
      <c r="V730" t="inlineStr">
        <is>
          <t>2006-03-16</t>
        </is>
      </c>
      <c r="W730" t="inlineStr">
        <is>
          <t>2006-02-27</t>
        </is>
      </c>
      <c r="X730" t="inlineStr">
        <is>
          <t>2006-02-27</t>
        </is>
      </c>
      <c r="Y730" t="n">
        <v>32</v>
      </c>
      <c r="Z730" t="n">
        <v>19</v>
      </c>
      <c r="AA730" t="n">
        <v>393</v>
      </c>
      <c r="AB730" t="n">
        <v>2</v>
      </c>
      <c r="AC730" t="n">
        <v>5</v>
      </c>
      <c r="AD730" t="n">
        <v>3</v>
      </c>
      <c r="AE730" t="n">
        <v>13</v>
      </c>
      <c r="AF730" t="n">
        <v>2</v>
      </c>
      <c r="AG730" t="n">
        <v>5</v>
      </c>
      <c r="AH730" t="n">
        <v>0</v>
      </c>
      <c r="AI730" t="n">
        <v>3</v>
      </c>
      <c r="AJ730" t="n">
        <v>1</v>
      </c>
      <c r="AK730" t="n">
        <v>4</v>
      </c>
      <c r="AL730" t="n">
        <v>1</v>
      </c>
      <c r="AM730" t="n">
        <v>4</v>
      </c>
      <c r="AN730" t="n">
        <v>0</v>
      </c>
      <c r="AO730" t="n">
        <v>0</v>
      </c>
      <c r="AP730" t="inlineStr">
        <is>
          <t>No</t>
        </is>
      </c>
      <c r="AQ730" t="inlineStr">
        <is>
          <t>No</t>
        </is>
      </c>
      <c r="AS730">
        <f>HYPERLINK("https://creighton-primo.hosted.exlibrisgroup.com/primo-explore/search?tab=default_tab&amp;search_scope=EVERYTHING&amp;vid=01CRU&amp;lang=en_US&amp;offset=0&amp;query=any,contains,991004751629702656","Catalog Record")</f>
        <v/>
      </c>
      <c r="AT730">
        <f>HYPERLINK("http://www.worldcat.org/oclc/60319996","WorldCat Record")</f>
        <v/>
      </c>
      <c r="AU730" t="inlineStr">
        <is>
          <t>5544530404:eng</t>
        </is>
      </c>
      <c r="AV730" t="inlineStr">
        <is>
          <t>60319996</t>
        </is>
      </c>
      <c r="AW730" t="inlineStr">
        <is>
          <t>991004751629702656</t>
        </is>
      </c>
      <c r="AX730" t="inlineStr">
        <is>
          <t>991004751629702656</t>
        </is>
      </c>
      <c r="AY730" t="inlineStr">
        <is>
          <t>2269794370002656</t>
        </is>
      </c>
      <c r="AZ730" t="inlineStr">
        <is>
          <t>BOOK</t>
        </is>
      </c>
      <c r="BB730" t="inlineStr">
        <is>
          <t>9780124502888</t>
        </is>
      </c>
      <c r="BC730" t="inlineStr">
        <is>
          <t>32285005166029</t>
        </is>
      </c>
      <c r="BD730" t="inlineStr">
        <is>
          <t>893446376</t>
        </is>
      </c>
    </row>
    <row r="731">
      <c r="A731" t="inlineStr">
        <is>
          <t>No</t>
        </is>
      </c>
      <c r="B731" t="inlineStr">
        <is>
          <t>QD262 .S89 1974</t>
        </is>
      </c>
      <c r="C731" t="inlineStr">
        <is>
          <t>0                      QD 0262000S  89          1974</t>
        </is>
      </c>
      <c r="D731" t="inlineStr">
        <is>
          <t>Organometallics in organic synthesis [by] J. M. Swan [and] D. St. C. Black.</t>
        </is>
      </c>
      <c r="F731" t="inlineStr">
        <is>
          <t>No</t>
        </is>
      </c>
      <c r="G731" t="inlineStr">
        <is>
          <t>1</t>
        </is>
      </c>
      <c r="H731" t="inlineStr">
        <is>
          <t>No</t>
        </is>
      </c>
      <c r="I731" t="inlineStr">
        <is>
          <t>No</t>
        </is>
      </c>
      <c r="J731" t="inlineStr">
        <is>
          <t>0</t>
        </is>
      </c>
      <c r="K731" t="inlineStr">
        <is>
          <t>Swan, J. M. (John Melvin), 1924-</t>
        </is>
      </c>
      <c r="L731" t="inlineStr">
        <is>
          <t>London, Chapman and Hall [Distributed in the U.S.A. by Halsted Press, New York, 1974]</t>
        </is>
      </c>
      <c r="M731" t="inlineStr">
        <is>
          <t>1974</t>
        </is>
      </c>
      <c r="O731" t="inlineStr">
        <is>
          <t>eng</t>
        </is>
      </c>
      <c r="P731" t="inlineStr">
        <is>
          <t>enk</t>
        </is>
      </c>
      <c r="Q731" t="inlineStr">
        <is>
          <t>Chapman and Hall chemistry textbook series</t>
        </is>
      </c>
      <c r="R731" t="inlineStr">
        <is>
          <t xml:space="preserve">QD </t>
        </is>
      </c>
      <c r="S731" t="n">
        <v>5</v>
      </c>
      <c r="T731" t="n">
        <v>5</v>
      </c>
      <c r="U731" t="inlineStr">
        <is>
          <t>2003-03-07</t>
        </is>
      </c>
      <c r="V731" t="inlineStr">
        <is>
          <t>2003-03-07</t>
        </is>
      </c>
      <c r="W731" t="inlineStr">
        <is>
          <t>1997-06-11</t>
        </is>
      </c>
      <c r="X731" t="inlineStr">
        <is>
          <t>1997-06-11</t>
        </is>
      </c>
      <c r="Y731" t="n">
        <v>434</v>
      </c>
      <c r="Z731" t="n">
        <v>302</v>
      </c>
      <c r="AA731" t="n">
        <v>303</v>
      </c>
      <c r="AB731" t="n">
        <v>2</v>
      </c>
      <c r="AC731" t="n">
        <v>2</v>
      </c>
      <c r="AD731" t="n">
        <v>15</v>
      </c>
      <c r="AE731" t="n">
        <v>15</v>
      </c>
      <c r="AF731" t="n">
        <v>4</v>
      </c>
      <c r="AG731" t="n">
        <v>4</v>
      </c>
      <c r="AH731" t="n">
        <v>7</v>
      </c>
      <c r="AI731" t="n">
        <v>7</v>
      </c>
      <c r="AJ731" t="n">
        <v>8</v>
      </c>
      <c r="AK731" t="n">
        <v>8</v>
      </c>
      <c r="AL731" t="n">
        <v>1</v>
      </c>
      <c r="AM731" t="n">
        <v>1</v>
      </c>
      <c r="AN731" t="n">
        <v>0</v>
      </c>
      <c r="AO731" t="n">
        <v>0</v>
      </c>
      <c r="AP731" t="inlineStr">
        <is>
          <t>No</t>
        </is>
      </c>
      <c r="AQ731" t="inlineStr">
        <is>
          <t>Yes</t>
        </is>
      </c>
      <c r="AR731">
        <f>HYPERLINK("http://catalog.hathitrust.org/Record/001033502","HathiTrust Record")</f>
        <v/>
      </c>
      <c r="AS731">
        <f>HYPERLINK("https://creighton-primo.hosted.exlibrisgroup.com/primo-explore/search?tab=default_tab&amp;search_scope=EVERYTHING&amp;vid=01CRU&amp;lang=en_US&amp;offset=0&amp;query=any,contains,991003368149702656","Catalog Record")</f>
        <v/>
      </c>
      <c r="AT731">
        <f>HYPERLINK("http://www.worldcat.org/oclc/903695","WorldCat Record")</f>
        <v/>
      </c>
      <c r="AU731" t="inlineStr">
        <is>
          <t>308568355:eng</t>
        </is>
      </c>
      <c r="AV731" t="inlineStr">
        <is>
          <t>903695</t>
        </is>
      </c>
      <c r="AW731" t="inlineStr">
        <is>
          <t>991003368149702656</t>
        </is>
      </c>
      <c r="AX731" t="inlineStr">
        <is>
          <t>991003368149702656</t>
        </is>
      </c>
      <c r="AY731" t="inlineStr">
        <is>
          <t>2263127530002656</t>
        </is>
      </c>
      <c r="AZ731" t="inlineStr">
        <is>
          <t>BOOK</t>
        </is>
      </c>
      <c r="BB731" t="inlineStr">
        <is>
          <t>9780412108709</t>
        </is>
      </c>
      <c r="BC731" t="inlineStr">
        <is>
          <t>32285002794120</t>
        </is>
      </c>
      <c r="BD731" t="inlineStr">
        <is>
          <t>893627565</t>
        </is>
      </c>
    </row>
    <row r="732">
      <c r="A732" t="inlineStr">
        <is>
          <t>No</t>
        </is>
      </c>
      <c r="B732" t="inlineStr">
        <is>
          <t>QD262 .T785 1996</t>
        </is>
      </c>
      <c r="C732" t="inlineStr">
        <is>
          <t>0                      QD 0262000T  785         1996</t>
        </is>
      </c>
      <c r="D732" t="inlineStr">
        <is>
          <t>Palladium reagents and catalysts : innovations in organic synthesis / Jiro Tsuji.</t>
        </is>
      </c>
      <c r="F732" t="inlineStr">
        <is>
          <t>No</t>
        </is>
      </c>
      <c r="G732" t="inlineStr">
        <is>
          <t>1</t>
        </is>
      </c>
      <c r="H732" t="inlineStr">
        <is>
          <t>No</t>
        </is>
      </c>
      <c r="I732" t="inlineStr">
        <is>
          <t>No</t>
        </is>
      </c>
      <c r="J732" t="inlineStr">
        <is>
          <t>0</t>
        </is>
      </c>
      <c r="K732" t="inlineStr">
        <is>
          <t>Tsuji, Jiro, 1927-</t>
        </is>
      </c>
      <c r="L732" t="inlineStr">
        <is>
          <t>Chichester ; New York : Wiley &amp; Sons, 1996, c1995.</t>
        </is>
      </c>
      <c r="M732" t="inlineStr">
        <is>
          <t>1996</t>
        </is>
      </c>
      <c r="O732" t="inlineStr">
        <is>
          <t>eng</t>
        </is>
      </c>
      <c r="P732" t="inlineStr">
        <is>
          <t>enk</t>
        </is>
      </c>
      <c r="R732" t="inlineStr">
        <is>
          <t xml:space="preserve">QD </t>
        </is>
      </c>
      <c r="S732" t="n">
        <v>4</v>
      </c>
      <c r="T732" t="n">
        <v>4</v>
      </c>
      <c r="U732" t="inlineStr">
        <is>
          <t>1999-09-20</t>
        </is>
      </c>
      <c r="V732" t="inlineStr">
        <is>
          <t>1999-09-20</t>
        </is>
      </c>
      <c r="W732" t="inlineStr">
        <is>
          <t>1997-10-01</t>
        </is>
      </c>
      <c r="X732" t="inlineStr">
        <is>
          <t>1997-10-01</t>
        </is>
      </c>
      <c r="Y732" t="n">
        <v>98</v>
      </c>
      <c r="Z732" t="n">
        <v>68</v>
      </c>
      <c r="AA732" t="n">
        <v>347</v>
      </c>
      <c r="AB732" t="n">
        <v>2</v>
      </c>
      <c r="AC732" t="n">
        <v>3</v>
      </c>
      <c r="AD732" t="n">
        <v>3</v>
      </c>
      <c r="AE732" t="n">
        <v>16</v>
      </c>
      <c r="AF732" t="n">
        <v>1</v>
      </c>
      <c r="AG732" t="n">
        <v>6</v>
      </c>
      <c r="AH732" t="n">
        <v>1</v>
      </c>
      <c r="AI732" t="n">
        <v>4</v>
      </c>
      <c r="AJ732" t="n">
        <v>1</v>
      </c>
      <c r="AK732" t="n">
        <v>9</v>
      </c>
      <c r="AL732" t="n">
        <v>1</v>
      </c>
      <c r="AM732" t="n">
        <v>2</v>
      </c>
      <c r="AN732" t="n">
        <v>0</v>
      </c>
      <c r="AO732" t="n">
        <v>0</v>
      </c>
      <c r="AP732" t="inlineStr">
        <is>
          <t>No</t>
        </is>
      </c>
      <c r="AQ732" t="inlineStr">
        <is>
          <t>No</t>
        </is>
      </c>
      <c r="AS732">
        <f>HYPERLINK("https://creighton-primo.hosted.exlibrisgroup.com/primo-explore/search?tab=default_tab&amp;search_scope=EVERYTHING&amp;vid=01CRU&amp;lang=en_US&amp;offset=0&amp;query=any,contains,991002826749702656","Catalog Record")</f>
        <v/>
      </c>
      <c r="AT732">
        <f>HYPERLINK("http://www.worldcat.org/oclc/37219946","WorldCat Record")</f>
        <v/>
      </c>
      <c r="AU732" t="inlineStr">
        <is>
          <t>3857183659:eng</t>
        </is>
      </c>
      <c r="AV732" t="inlineStr">
        <is>
          <t>37219946</t>
        </is>
      </c>
      <c r="AW732" t="inlineStr">
        <is>
          <t>991002826749702656</t>
        </is>
      </c>
      <c r="AX732" t="inlineStr">
        <is>
          <t>991002826749702656</t>
        </is>
      </c>
      <c r="AY732" t="inlineStr">
        <is>
          <t>2260849570002656</t>
        </is>
      </c>
      <c r="AZ732" t="inlineStr">
        <is>
          <t>BOOK</t>
        </is>
      </c>
      <c r="BB732" t="inlineStr">
        <is>
          <t>9780471954835</t>
        </is>
      </c>
      <c r="BC732" t="inlineStr">
        <is>
          <t>32285003251708</t>
        </is>
      </c>
      <c r="BD732" t="inlineStr">
        <is>
          <t>893604091</t>
        </is>
      </c>
    </row>
    <row r="733">
      <c r="A733" t="inlineStr">
        <is>
          <t>No</t>
        </is>
      </c>
      <c r="B733" t="inlineStr">
        <is>
          <t>QD262 .T785 2004</t>
        </is>
      </c>
      <c r="C733" t="inlineStr">
        <is>
          <t>0                      QD 0262000T  785         2004</t>
        </is>
      </c>
      <c r="D733" t="inlineStr">
        <is>
          <t>Palladium reagents and catalysts : new perspectives for the 21st century / Jiro Tsuji.</t>
        </is>
      </c>
      <c r="F733" t="inlineStr">
        <is>
          <t>No</t>
        </is>
      </c>
      <c r="G733" t="inlineStr">
        <is>
          <t>1</t>
        </is>
      </c>
      <c r="H733" t="inlineStr">
        <is>
          <t>No</t>
        </is>
      </c>
      <c r="I733" t="inlineStr">
        <is>
          <t>No</t>
        </is>
      </c>
      <c r="J733" t="inlineStr">
        <is>
          <t>0</t>
        </is>
      </c>
      <c r="K733" t="inlineStr">
        <is>
          <t>Tsuji, Jiro, 1927-</t>
        </is>
      </c>
      <c r="L733" t="inlineStr">
        <is>
          <t>Hoboken, NJ : Wiley, c2004.</t>
        </is>
      </c>
      <c r="M733" t="inlineStr">
        <is>
          <t>2004</t>
        </is>
      </c>
      <c r="N733" t="inlineStr">
        <is>
          <t>2nd ed.</t>
        </is>
      </c>
      <c r="O733" t="inlineStr">
        <is>
          <t>eng</t>
        </is>
      </c>
      <c r="P733" t="inlineStr">
        <is>
          <t>nju</t>
        </is>
      </c>
      <c r="R733" t="inlineStr">
        <is>
          <t xml:space="preserve">QD </t>
        </is>
      </c>
      <c r="S733" t="n">
        <v>3</v>
      </c>
      <c r="T733" t="n">
        <v>3</v>
      </c>
      <c r="U733" t="inlineStr">
        <is>
          <t>2009-06-10</t>
        </is>
      </c>
      <c r="V733" t="inlineStr">
        <is>
          <t>2009-06-10</t>
        </is>
      </c>
      <c r="W733" t="inlineStr">
        <is>
          <t>2005-04-07</t>
        </is>
      </c>
      <c r="X733" t="inlineStr">
        <is>
          <t>2005-04-07</t>
        </is>
      </c>
      <c r="Y733" t="n">
        <v>185</v>
      </c>
      <c r="Z733" t="n">
        <v>136</v>
      </c>
      <c r="AA733" t="n">
        <v>603</v>
      </c>
      <c r="AB733" t="n">
        <v>2</v>
      </c>
      <c r="AC733" t="n">
        <v>30</v>
      </c>
      <c r="AD733" t="n">
        <v>7</v>
      </c>
      <c r="AE733" t="n">
        <v>23</v>
      </c>
      <c r="AF733" t="n">
        <v>2</v>
      </c>
      <c r="AG733" t="n">
        <v>7</v>
      </c>
      <c r="AH733" t="n">
        <v>1</v>
      </c>
      <c r="AI733" t="n">
        <v>1</v>
      </c>
      <c r="AJ733" t="n">
        <v>5</v>
      </c>
      <c r="AK733" t="n">
        <v>7</v>
      </c>
      <c r="AL733" t="n">
        <v>1</v>
      </c>
      <c r="AM733" t="n">
        <v>11</v>
      </c>
      <c r="AN733" t="n">
        <v>0</v>
      </c>
      <c r="AO733" t="n">
        <v>0</v>
      </c>
      <c r="AP733" t="inlineStr">
        <is>
          <t>No</t>
        </is>
      </c>
      <c r="AQ733" t="inlineStr">
        <is>
          <t>No</t>
        </is>
      </c>
      <c r="AS733">
        <f>HYPERLINK("https://creighton-primo.hosted.exlibrisgroup.com/primo-explore/search?tab=default_tab&amp;search_scope=EVERYTHING&amp;vid=01CRU&amp;lang=en_US&amp;offset=0&amp;query=any,contains,991004495389702656","Catalog Record")</f>
        <v/>
      </c>
      <c r="AT733">
        <f>HYPERLINK("http://www.worldcat.org/oclc/53900240","WorldCat Record")</f>
        <v/>
      </c>
      <c r="AU733" t="inlineStr">
        <is>
          <t>312250022:eng</t>
        </is>
      </c>
      <c r="AV733" t="inlineStr">
        <is>
          <t>53900240</t>
        </is>
      </c>
      <c r="AW733" t="inlineStr">
        <is>
          <t>991004495389702656</t>
        </is>
      </c>
      <c r="AX733" t="inlineStr">
        <is>
          <t>991004495389702656</t>
        </is>
      </c>
      <c r="AY733" t="inlineStr">
        <is>
          <t>2269990190002656</t>
        </is>
      </c>
      <c r="AZ733" t="inlineStr">
        <is>
          <t>BOOK</t>
        </is>
      </c>
      <c r="BB733" t="inlineStr">
        <is>
          <t>9780470850329</t>
        </is>
      </c>
      <c r="BC733" t="inlineStr">
        <is>
          <t>32285005048649</t>
        </is>
      </c>
      <c r="BD733" t="inlineStr">
        <is>
          <t>893895058</t>
        </is>
      </c>
    </row>
    <row r="734">
      <c r="A734" t="inlineStr">
        <is>
          <t>No</t>
        </is>
      </c>
      <c r="B734" t="inlineStr">
        <is>
          <t>QD262 .W284 2008</t>
        </is>
      </c>
      <c r="C734" t="inlineStr">
        <is>
          <t>0                      QD 0262000W  284         2008</t>
        </is>
      </c>
      <c r="D734" t="inlineStr">
        <is>
          <t>Organic synthesis : the disconnection approach / Stuart Warren and Paul Wyatt.</t>
        </is>
      </c>
      <c r="F734" t="inlineStr">
        <is>
          <t>No</t>
        </is>
      </c>
      <c r="G734" t="inlineStr">
        <is>
          <t>1</t>
        </is>
      </c>
      <c r="H734" t="inlineStr">
        <is>
          <t>No</t>
        </is>
      </c>
      <c r="I734" t="inlineStr">
        <is>
          <t>No</t>
        </is>
      </c>
      <c r="J734" t="inlineStr">
        <is>
          <t>0</t>
        </is>
      </c>
      <c r="K734" t="inlineStr">
        <is>
          <t>Warren, Stuart G.</t>
        </is>
      </c>
      <c r="L734" t="inlineStr">
        <is>
          <t>Chichester, UK : John Wiley &amp; Sons Ltd., 2008.</t>
        </is>
      </c>
      <c r="M734" t="inlineStr">
        <is>
          <t>2008</t>
        </is>
      </c>
      <c r="N734" t="inlineStr">
        <is>
          <t>2nd ed.</t>
        </is>
      </c>
      <c r="O734" t="inlineStr">
        <is>
          <t>eng</t>
        </is>
      </c>
      <c r="P734" t="inlineStr">
        <is>
          <t>enk</t>
        </is>
      </c>
      <c r="R734" t="inlineStr">
        <is>
          <t xml:space="preserve">QD </t>
        </is>
      </c>
      <c r="S734" t="n">
        <v>1</v>
      </c>
      <c r="T734" t="n">
        <v>1</v>
      </c>
      <c r="U734" t="inlineStr">
        <is>
          <t>2010-02-22</t>
        </is>
      </c>
      <c r="V734" t="inlineStr">
        <is>
          <t>2010-02-22</t>
        </is>
      </c>
      <c r="W734" t="inlineStr">
        <is>
          <t>2010-02-22</t>
        </is>
      </c>
      <c r="X734" t="inlineStr">
        <is>
          <t>2010-02-22</t>
        </is>
      </c>
      <c r="Y734" t="n">
        <v>299</v>
      </c>
      <c r="Z734" t="n">
        <v>187</v>
      </c>
      <c r="AA734" t="n">
        <v>1020</v>
      </c>
      <c r="AB734" t="n">
        <v>2</v>
      </c>
      <c r="AC734" t="n">
        <v>7</v>
      </c>
      <c r="AD734" t="n">
        <v>12</v>
      </c>
      <c r="AE734" t="n">
        <v>48</v>
      </c>
      <c r="AF734" t="n">
        <v>5</v>
      </c>
      <c r="AG734" t="n">
        <v>20</v>
      </c>
      <c r="AH734" t="n">
        <v>3</v>
      </c>
      <c r="AI734" t="n">
        <v>10</v>
      </c>
      <c r="AJ734" t="n">
        <v>7</v>
      </c>
      <c r="AK734" t="n">
        <v>23</v>
      </c>
      <c r="AL734" t="n">
        <v>1</v>
      </c>
      <c r="AM734" t="n">
        <v>6</v>
      </c>
      <c r="AN734" t="n">
        <v>0</v>
      </c>
      <c r="AO734" t="n">
        <v>1</v>
      </c>
      <c r="AP734" t="inlineStr">
        <is>
          <t>No</t>
        </is>
      </c>
      <c r="AQ734" t="inlineStr">
        <is>
          <t>No</t>
        </is>
      </c>
      <c r="AS734">
        <f>HYPERLINK("https://creighton-primo.hosted.exlibrisgroup.com/primo-explore/search?tab=default_tab&amp;search_scope=EVERYTHING&amp;vid=01CRU&amp;lang=en_US&amp;offset=0&amp;query=any,contains,991005363739702656","Catalog Record")</f>
        <v/>
      </c>
      <c r="AT734">
        <f>HYPERLINK("http://www.worldcat.org/oclc/237018334","WorldCat Record")</f>
        <v/>
      </c>
      <c r="AU734" t="inlineStr">
        <is>
          <t>4915158256:eng</t>
        </is>
      </c>
      <c r="AV734" t="inlineStr">
        <is>
          <t>237018334</t>
        </is>
      </c>
      <c r="AW734" t="inlineStr">
        <is>
          <t>991005363739702656</t>
        </is>
      </c>
      <c r="AX734" t="inlineStr">
        <is>
          <t>991005363739702656</t>
        </is>
      </c>
      <c r="AY734" t="inlineStr">
        <is>
          <t>2254953880002656</t>
        </is>
      </c>
      <c r="AZ734" t="inlineStr">
        <is>
          <t>BOOK</t>
        </is>
      </c>
      <c r="BB734" t="inlineStr">
        <is>
          <t>9780470712368</t>
        </is>
      </c>
      <c r="BC734" t="inlineStr">
        <is>
          <t>32285005574602</t>
        </is>
      </c>
      <c r="BD734" t="inlineStr">
        <is>
          <t>893877407</t>
        </is>
      </c>
    </row>
    <row r="735">
      <c r="A735" t="inlineStr">
        <is>
          <t>No</t>
        </is>
      </c>
      <c r="B735" t="inlineStr">
        <is>
          <t>QD262 .W4613</t>
        </is>
      </c>
      <c r="C735" t="inlineStr">
        <is>
          <t>0                      QD 0262000W  4613</t>
        </is>
      </c>
      <c r="D735" t="inlineStr">
        <is>
          <t>Weygand/Hilgetag preparative organic chemistry. Edited by G. Hilgetag and A. Martini.</t>
        </is>
      </c>
      <c r="F735" t="inlineStr">
        <is>
          <t>No</t>
        </is>
      </c>
      <c r="G735" t="inlineStr">
        <is>
          <t>1</t>
        </is>
      </c>
      <c r="H735" t="inlineStr">
        <is>
          <t>No</t>
        </is>
      </c>
      <c r="I735" t="inlineStr">
        <is>
          <t>No</t>
        </is>
      </c>
      <c r="J735" t="inlineStr">
        <is>
          <t>0</t>
        </is>
      </c>
      <c r="K735" t="inlineStr">
        <is>
          <t>Weygand, Conrad, 1890-1945.</t>
        </is>
      </c>
      <c r="L735" t="inlineStr">
        <is>
          <t>New York, Wiley [1972]</t>
        </is>
      </c>
      <c r="M735" t="inlineStr">
        <is>
          <t>1972</t>
        </is>
      </c>
      <c r="O735" t="inlineStr">
        <is>
          <t>eng</t>
        </is>
      </c>
      <c r="P735" t="inlineStr">
        <is>
          <t>nyu</t>
        </is>
      </c>
      <c r="R735" t="inlineStr">
        <is>
          <t xml:space="preserve">QD </t>
        </is>
      </c>
      <c r="S735" t="n">
        <v>2</v>
      </c>
      <c r="T735" t="n">
        <v>2</v>
      </c>
      <c r="U735" t="inlineStr">
        <is>
          <t>1997-11-30</t>
        </is>
      </c>
      <c r="V735" t="inlineStr">
        <is>
          <t>1997-11-30</t>
        </is>
      </c>
      <c r="W735" t="inlineStr">
        <is>
          <t>1997-10-07</t>
        </is>
      </c>
      <c r="X735" t="inlineStr">
        <is>
          <t>1997-10-07</t>
        </is>
      </c>
      <c r="Y735" t="n">
        <v>346</v>
      </c>
      <c r="Z735" t="n">
        <v>271</v>
      </c>
      <c r="AA735" t="n">
        <v>271</v>
      </c>
      <c r="AB735" t="n">
        <v>3</v>
      </c>
      <c r="AC735" t="n">
        <v>3</v>
      </c>
      <c r="AD735" t="n">
        <v>8</v>
      </c>
      <c r="AE735" t="n">
        <v>8</v>
      </c>
      <c r="AF735" t="n">
        <v>4</v>
      </c>
      <c r="AG735" t="n">
        <v>4</v>
      </c>
      <c r="AH735" t="n">
        <v>0</v>
      </c>
      <c r="AI735" t="n">
        <v>0</v>
      </c>
      <c r="AJ735" t="n">
        <v>3</v>
      </c>
      <c r="AK735" t="n">
        <v>3</v>
      </c>
      <c r="AL735" t="n">
        <v>2</v>
      </c>
      <c r="AM735" t="n">
        <v>2</v>
      </c>
      <c r="AN735" t="n">
        <v>0</v>
      </c>
      <c r="AO735" t="n">
        <v>0</v>
      </c>
      <c r="AP735" t="inlineStr">
        <is>
          <t>No</t>
        </is>
      </c>
      <c r="AQ735" t="inlineStr">
        <is>
          <t>No</t>
        </is>
      </c>
      <c r="AS735">
        <f>HYPERLINK("https://creighton-primo.hosted.exlibrisgroup.com/primo-explore/search?tab=default_tab&amp;search_scope=EVERYTHING&amp;vid=01CRU&amp;lang=en_US&amp;offset=0&amp;query=any,contains,991002801129702656","Catalog Record")</f>
        <v/>
      </c>
      <c r="AT735">
        <f>HYPERLINK("http://www.worldcat.org/oclc/447301","WorldCat Record")</f>
        <v/>
      </c>
      <c r="AU735" t="inlineStr">
        <is>
          <t>5613057683:eng</t>
        </is>
      </c>
      <c r="AV735" t="inlineStr">
        <is>
          <t>447301</t>
        </is>
      </c>
      <c r="AW735" t="inlineStr">
        <is>
          <t>991002801129702656</t>
        </is>
      </c>
      <c r="AX735" t="inlineStr">
        <is>
          <t>991002801129702656</t>
        </is>
      </c>
      <c r="AY735" t="inlineStr">
        <is>
          <t>2268464820002656</t>
        </is>
      </c>
      <c r="AZ735" t="inlineStr">
        <is>
          <t>BOOK</t>
        </is>
      </c>
      <c r="BB735" t="inlineStr">
        <is>
          <t>9780471937494</t>
        </is>
      </c>
      <c r="BC735" t="inlineStr">
        <is>
          <t>32285003255071</t>
        </is>
      </c>
      <c r="BD735" t="inlineStr">
        <is>
          <t>893341872</t>
        </is>
      </c>
    </row>
    <row r="736">
      <c r="A736" t="inlineStr">
        <is>
          <t>No</t>
        </is>
      </c>
      <c r="B736" t="inlineStr">
        <is>
          <t>QD262 .W89 2007</t>
        </is>
      </c>
      <c r="C736" t="inlineStr">
        <is>
          <t>0                      QD 0262000W  89          2007</t>
        </is>
      </c>
      <c r="D736" t="inlineStr">
        <is>
          <t>Organic synthesis : strategy and control / Paul Wyatt and Stuart Warren.</t>
        </is>
      </c>
      <c r="F736" t="inlineStr">
        <is>
          <t>No</t>
        </is>
      </c>
      <c r="G736" t="inlineStr">
        <is>
          <t>1</t>
        </is>
      </c>
      <c r="H736" t="inlineStr">
        <is>
          <t>No</t>
        </is>
      </c>
      <c r="I736" t="inlineStr">
        <is>
          <t>No</t>
        </is>
      </c>
      <c r="J736" t="inlineStr">
        <is>
          <t>0</t>
        </is>
      </c>
      <c r="K736" t="inlineStr">
        <is>
          <t>Wyatt, Paul.</t>
        </is>
      </c>
      <c r="L736" t="inlineStr">
        <is>
          <t>Chichester, England ; Hoboken, NJ : John Wiley, c2007.</t>
        </is>
      </c>
      <c r="M736" t="inlineStr">
        <is>
          <t>2007</t>
        </is>
      </c>
      <c r="O736" t="inlineStr">
        <is>
          <t>eng</t>
        </is>
      </c>
      <c r="P736" t="inlineStr">
        <is>
          <t>enk</t>
        </is>
      </c>
      <c r="R736" t="inlineStr">
        <is>
          <t xml:space="preserve">QD </t>
        </is>
      </c>
      <c r="S736" t="n">
        <v>2</v>
      </c>
      <c r="T736" t="n">
        <v>2</v>
      </c>
      <c r="U736" t="inlineStr">
        <is>
          <t>2008-04-01</t>
        </is>
      </c>
      <c r="V736" t="inlineStr">
        <is>
          <t>2008-04-01</t>
        </is>
      </c>
      <c r="W736" t="inlineStr">
        <is>
          <t>2008-04-01</t>
        </is>
      </c>
      <c r="X736" t="inlineStr">
        <is>
          <t>2008-04-01</t>
        </is>
      </c>
      <c r="Y736" t="n">
        <v>306</v>
      </c>
      <c r="Z736" t="n">
        <v>183</v>
      </c>
      <c r="AA736" t="n">
        <v>213</v>
      </c>
      <c r="AB736" t="n">
        <v>2</v>
      </c>
      <c r="AC736" t="n">
        <v>2</v>
      </c>
      <c r="AD736" t="n">
        <v>11</v>
      </c>
      <c r="AE736" t="n">
        <v>11</v>
      </c>
      <c r="AF736" t="n">
        <v>4</v>
      </c>
      <c r="AG736" t="n">
        <v>4</v>
      </c>
      <c r="AH736" t="n">
        <v>3</v>
      </c>
      <c r="AI736" t="n">
        <v>3</v>
      </c>
      <c r="AJ736" t="n">
        <v>6</v>
      </c>
      <c r="AK736" t="n">
        <v>6</v>
      </c>
      <c r="AL736" t="n">
        <v>1</v>
      </c>
      <c r="AM736" t="n">
        <v>1</v>
      </c>
      <c r="AN736" t="n">
        <v>0</v>
      </c>
      <c r="AO736" t="n">
        <v>0</v>
      </c>
      <c r="AP736" t="inlineStr">
        <is>
          <t>No</t>
        </is>
      </c>
      <c r="AQ736" t="inlineStr">
        <is>
          <t>No</t>
        </is>
      </c>
      <c r="AS736">
        <f>HYPERLINK("https://creighton-primo.hosted.exlibrisgroup.com/primo-explore/search?tab=default_tab&amp;search_scope=EVERYTHING&amp;vid=01CRU&amp;lang=en_US&amp;offset=0&amp;query=any,contains,991005200659702656","Catalog Record")</f>
        <v/>
      </c>
      <c r="AT736">
        <f>HYPERLINK("http://www.worldcat.org/oclc/74029357","WorldCat Record")</f>
        <v/>
      </c>
      <c r="AU736" t="inlineStr">
        <is>
          <t>318905572:eng</t>
        </is>
      </c>
      <c r="AV736" t="inlineStr">
        <is>
          <t>74029357</t>
        </is>
      </c>
      <c r="AW736" t="inlineStr">
        <is>
          <t>991005200659702656</t>
        </is>
      </c>
      <c r="AX736" t="inlineStr">
        <is>
          <t>991005200659702656</t>
        </is>
      </c>
      <c r="AY736" t="inlineStr">
        <is>
          <t>2267814850002656</t>
        </is>
      </c>
      <c r="AZ736" t="inlineStr">
        <is>
          <t>BOOK</t>
        </is>
      </c>
      <c r="BB736" t="inlineStr">
        <is>
          <t>9780471489405</t>
        </is>
      </c>
      <c r="BC736" t="inlineStr">
        <is>
          <t>32285005399943</t>
        </is>
      </c>
      <c r="BD736" t="inlineStr">
        <is>
          <t>893625608</t>
        </is>
      </c>
    </row>
    <row r="737">
      <c r="A737" t="inlineStr">
        <is>
          <t>No</t>
        </is>
      </c>
      <c r="B737" t="inlineStr">
        <is>
          <t>QD262 .Z37 2003</t>
        </is>
      </c>
      <c r="C737" t="inlineStr">
        <is>
          <t>0                      QD 0262000Z  37          2003</t>
        </is>
      </c>
      <c r="D737" t="inlineStr">
        <is>
          <t>Radical reactions in organic synthesis / Samir Z. Zard.</t>
        </is>
      </c>
      <c r="F737" t="inlineStr">
        <is>
          <t>No</t>
        </is>
      </c>
      <c r="G737" t="inlineStr">
        <is>
          <t>1</t>
        </is>
      </c>
      <c r="H737" t="inlineStr">
        <is>
          <t>No</t>
        </is>
      </c>
      <c r="I737" t="inlineStr">
        <is>
          <t>No</t>
        </is>
      </c>
      <c r="J737" t="inlineStr">
        <is>
          <t>0</t>
        </is>
      </c>
      <c r="K737" t="inlineStr">
        <is>
          <t>Zard, Samir Z.</t>
        </is>
      </c>
      <c r="L737" t="inlineStr">
        <is>
          <t>Oxford New York : Oxford University Press, 2003.</t>
        </is>
      </c>
      <c r="M737" t="inlineStr">
        <is>
          <t>2003</t>
        </is>
      </c>
      <c r="O737" t="inlineStr">
        <is>
          <t>eng</t>
        </is>
      </c>
      <c r="P737" t="inlineStr">
        <is>
          <t>enk</t>
        </is>
      </c>
      <c r="Q737" t="inlineStr">
        <is>
          <t>Oxford chemistry masters ; 7</t>
        </is>
      </c>
      <c r="R737" t="inlineStr">
        <is>
          <t xml:space="preserve">QD </t>
        </is>
      </c>
      <c r="S737" t="n">
        <v>1</v>
      </c>
      <c r="T737" t="n">
        <v>1</v>
      </c>
      <c r="U737" t="inlineStr">
        <is>
          <t>2005-02-23</t>
        </is>
      </c>
      <c r="V737" t="inlineStr">
        <is>
          <t>2005-02-23</t>
        </is>
      </c>
      <c r="W737" t="inlineStr">
        <is>
          <t>2005-02-23</t>
        </is>
      </c>
      <c r="X737" t="inlineStr">
        <is>
          <t>2005-02-23</t>
        </is>
      </c>
      <c r="Y737" t="n">
        <v>271</v>
      </c>
      <c r="Z737" t="n">
        <v>189</v>
      </c>
      <c r="AA737" t="n">
        <v>189</v>
      </c>
      <c r="AB737" t="n">
        <v>3</v>
      </c>
      <c r="AC737" t="n">
        <v>3</v>
      </c>
      <c r="AD737" t="n">
        <v>8</v>
      </c>
      <c r="AE737" t="n">
        <v>8</v>
      </c>
      <c r="AF737" t="n">
        <v>3</v>
      </c>
      <c r="AG737" t="n">
        <v>3</v>
      </c>
      <c r="AH737" t="n">
        <v>1</v>
      </c>
      <c r="AI737" t="n">
        <v>1</v>
      </c>
      <c r="AJ737" t="n">
        <v>3</v>
      </c>
      <c r="AK737" t="n">
        <v>3</v>
      </c>
      <c r="AL737" t="n">
        <v>2</v>
      </c>
      <c r="AM737" t="n">
        <v>2</v>
      </c>
      <c r="AN737" t="n">
        <v>0</v>
      </c>
      <c r="AO737" t="n">
        <v>0</v>
      </c>
      <c r="AP737" t="inlineStr">
        <is>
          <t>No</t>
        </is>
      </c>
      <c r="AQ737" t="inlineStr">
        <is>
          <t>No</t>
        </is>
      </c>
      <c r="AS737">
        <f>HYPERLINK("https://creighton-primo.hosted.exlibrisgroup.com/primo-explore/search?tab=default_tab&amp;search_scope=EVERYTHING&amp;vid=01CRU&amp;lang=en_US&amp;offset=0&amp;query=any,contains,991004469549702656","Catalog Record")</f>
        <v/>
      </c>
      <c r="AT737">
        <f>HYPERLINK("http://www.worldcat.org/oclc/52876699","WorldCat Record")</f>
        <v/>
      </c>
      <c r="AU737" t="inlineStr">
        <is>
          <t>663821:eng</t>
        </is>
      </c>
      <c r="AV737" t="inlineStr">
        <is>
          <t>52876699</t>
        </is>
      </c>
      <c r="AW737" t="inlineStr">
        <is>
          <t>991004469549702656</t>
        </is>
      </c>
      <c r="AX737" t="inlineStr">
        <is>
          <t>991004469549702656</t>
        </is>
      </c>
      <c r="AY737" t="inlineStr">
        <is>
          <t>2257560180002656</t>
        </is>
      </c>
      <c r="AZ737" t="inlineStr">
        <is>
          <t>BOOK</t>
        </is>
      </c>
      <c r="BB737" t="inlineStr">
        <is>
          <t>9780198502401</t>
        </is>
      </c>
      <c r="BC737" t="inlineStr">
        <is>
          <t>32285005027213</t>
        </is>
      </c>
      <c r="BD737" t="inlineStr">
        <is>
          <t>893411581</t>
        </is>
      </c>
    </row>
    <row r="738">
      <c r="A738" t="inlineStr">
        <is>
          <t>No</t>
        </is>
      </c>
      <c r="B738" t="inlineStr">
        <is>
          <t>QD27 .P65 1945</t>
        </is>
      </c>
      <c r="C738" t="inlineStr">
        <is>
          <t>0                      QD 0027000P  65          1945</t>
        </is>
      </c>
      <c r="D738" t="inlineStr">
        <is>
          <t>Directions for impregnating water with fixed air in order to communicate to it the peculiar spirit and virtues of Pyrmont water, by Joseph Priestley ... A reprint of the original pamphlet by Dr. Priestley on carbonation of water, with supplemental data concerning early studies of carbon dioxide, effervescent mineral waters, and the origin of carbonated flavored beverages.</t>
        </is>
      </c>
      <c r="F738" t="inlineStr">
        <is>
          <t>No</t>
        </is>
      </c>
      <c r="G738" t="inlineStr">
        <is>
          <t>1</t>
        </is>
      </c>
      <c r="H738" t="inlineStr">
        <is>
          <t>No</t>
        </is>
      </c>
      <c r="I738" t="inlineStr">
        <is>
          <t>No</t>
        </is>
      </c>
      <c r="J738" t="inlineStr">
        <is>
          <t>0</t>
        </is>
      </c>
      <c r="K738" t="inlineStr">
        <is>
          <t>Priestley, Joseph, 1733-1804.</t>
        </is>
      </c>
      <c r="L738" t="inlineStr">
        <is>
          <t>Washington, D.C., American bottlers of carbonated beverages [1945]</t>
        </is>
      </c>
      <c r="M738" t="inlineStr">
        <is>
          <t>1945</t>
        </is>
      </c>
      <c r="O738" t="inlineStr">
        <is>
          <t>eng</t>
        </is>
      </c>
      <c r="P738" t="inlineStr">
        <is>
          <t>dcu</t>
        </is>
      </c>
      <c r="R738" t="inlineStr">
        <is>
          <t xml:space="preserve">QD </t>
        </is>
      </c>
      <c r="S738" t="n">
        <v>5</v>
      </c>
      <c r="T738" t="n">
        <v>5</v>
      </c>
      <c r="U738" t="inlineStr">
        <is>
          <t>2009-03-20</t>
        </is>
      </c>
      <c r="V738" t="inlineStr">
        <is>
          <t>2009-03-20</t>
        </is>
      </c>
      <c r="W738" t="inlineStr">
        <is>
          <t>1997-05-29</t>
        </is>
      </c>
      <c r="X738" t="inlineStr">
        <is>
          <t>1997-05-29</t>
        </is>
      </c>
      <c r="Y738" t="n">
        <v>119</v>
      </c>
      <c r="Z738" t="n">
        <v>118</v>
      </c>
      <c r="AA738" t="n">
        <v>264</v>
      </c>
      <c r="AB738" t="n">
        <v>2</v>
      </c>
      <c r="AC738" t="n">
        <v>3</v>
      </c>
      <c r="AD738" t="n">
        <v>5</v>
      </c>
      <c r="AE738" t="n">
        <v>9</v>
      </c>
      <c r="AF738" t="n">
        <v>1</v>
      </c>
      <c r="AG738" t="n">
        <v>1</v>
      </c>
      <c r="AH738" t="n">
        <v>1</v>
      </c>
      <c r="AI738" t="n">
        <v>3</v>
      </c>
      <c r="AJ738" t="n">
        <v>2</v>
      </c>
      <c r="AK738" t="n">
        <v>3</v>
      </c>
      <c r="AL738" t="n">
        <v>1</v>
      </c>
      <c r="AM738" t="n">
        <v>2</v>
      </c>
      <c r="AN738" t="n">
        <v>0</v>
      </c>
      <c r="AO738" t="n">
        <v>0</v>
      </c>
      <c r="AP738" t="inlineStr">
        <is>
          <t>Yes</t>
        </is>
      </c>
      <c r="AQ738" t="inlineStr">
        <is>
          <t>No</t>
        </is>
      </c>
      <c r="AR738">
        <f>HYPERLINK("http://catalog.hathitrust.org/Record/001486628","HathiTrust Record")</f>
        <v/>
      </c>
      <c r="AS738">
        <f>HYPERLINK("https://creighton-primo.hosted.exlibrisgroup.com/primo-explore/search?tab=default_tab&amp;search_scope=EVERYTHING&amp;vid=01CRU&amp;lang=en_US&amp;offset=0&amp;query=any,contains,991004163809702656","Catalog Record")</f>
        <v/>
      </c>
      <c r="AT738">
        <f>HYPERLINK("http://www.worldcat.org/oclc/2559504","WorldCat Record")</f>
        <v/>
      </c>
      <c r="AU738" t="inlineStr">
        <is>
          <t>5232978:eng</t>
        </is>
      </c>
      <c r="AV738" t="inlineStr">
        <is>
          <t>2559504</t>
        </is>
      </c>
      <c r="AW738" t="inlineStr">
        <is>
          <t>991004163809702656</t>
        </is>
      </c>
      <c r="AX738" t="inlineStr">
        <is>
          <t>991004163809702656</t>
        </is>
      </c>
      <c r="AY738" t="inlineStr">
        <is>
          <t>2267180310002656</t>
        </is>
      </c>
      <c r="AZ738" t="inlineStr">
        <is>
          <t>BOOK</t>
        </is>
      </c>
      <c r="BC738" t="inlineStr">
        <is>
          <t>32285002776929</t>
        </is>
      </c>
      <c r="BD738" t="inlineStr">
        <is>
          <t>893788354</t>
        </is>
      </c>
    </row>
    <row r="739">
      <c r="A739" t="inlineStr">
        <is>
          <t>No</t>
        </is>
      </c>
      <c r="B739" t="inlineStr">
        <is>
          <t>QD27 .P7</t>
        </is>
      </c>
      <c r="C739" t="inlineStr">
        <is>
          <t>0                      QD 0027000P  7</t>
        </is>
      </c>
      <c r="D739" t="inlineStr">
        <is>
          <t>Considerations on the doctrine of phlogiston, and the decomposition of water, by Joseph Priestley ... and Two lectures on combustion and an examination of Doctor Priestley's Considerations on the doctrine of phlogiston, by John Maclean ... edited, with a sketch of the life and letters of Doctor Maclean, by William Foster ...</t>
        </is>
      </c>
      <c r="F739" t="inlineStr">
        <is>
          <t>No</t>
        </is>
      </c>
      <c r="G739" t="inlineStr">
        <is>
          <t>1</t>
        </is>
      </c>
      <c r="H739" t="inlineStr">
        <is>
          <t>No</t>
        </is>
      </c>
      <c r="I739" t="inlineStr">
        <is>
          <t>No</t>
        </is>
      </c>
      <c r="J739" t="inlineStr">
        <is>
          <t>0</t>
        </is>
      </c>
      <c r="K739" t="inlineStr">
        <is>
          <t>Priestley, Joseph, 1733-1804.</t>
        </is>
      </c>
      <c r="L739" t="inlineStr">
        <is>
          <t>[Princeton, N.J., Princeton University Press] 1929.</t>
        </is>
      </c>
      <c r="M739" t="inlineStr">
        <is>
          <t>1929</t>
        </is>
      </c>
      <c r="O739" t="inlineStr">
        <is>
          <t>eng</t>
        </is>
      </c>
      <c r="P739" t="inlineStr">
        <is>
          <t>nju</t>
        </is>
      </c>
      <c r="R739" t="inlineStr">
        <is>
          <t xml:space="preserve">QD </t>
        </is>
      </c>
      <c r="S739" t="n">
        <v>2</v>
      </c>
      <c r="T739" t="n">
        <v>2</v>
      </c>
      <c r="U739" t="inlineStr">
        <is>
          <t>2004-09-28</t>
        </is>
      </c>
      <c r="V739" t="inlineStr">
        <is>
          <t>2004-09-28</t>
        </is>
      </c>
      <c r="W739" t="inlineStr">
        <is>
          <t>1997-05-29</t>
        </is>
      </c>
      <c r="X739" t="inlineStr">
        <is>
          <t>1997-05-29</t>
        </is>
      </c>
      <c r="Y739" t="n">
        <v>136</v>
      </c>
      <c r="Z739" t="n">
        <v>116</v>
      </c>
      <c r="AA739" t="n">
        <v>301</v>
      </c>
      <c r="AB739" t="n">
        <v>1</v>
      </c>
      <c r="AC739" t="n">
        <v>4</v>
      </c>
      <c r="AD739" t="n">
        <v>5</v>
      </c>
      <c r="AE739" t="n">
        <v>18</v>
      </c>
      <c r="AF739" t="n">
        <v>0</v>
      </c>
      <c r="AG739" t="n">
        <v>4</v>
      </c>
      <c r="AH739" t="n">
        <v>3</v>
      </c>
      <c r="AI739" t="n">
        <v>6</v>
      </c>
      <c r="AJ739" t="n">
        <v>4</v>
      </c>
      <c r="AK739" t="n">
        <v>9</v>
      </c>
      <c r="AL739" t="n">
        <v>0</v>
      </c>
      <c r="AM739" t="n">
        <v>3</v>
      </c>
      <c r="AN739" t="n">
        <v>0</v>
      </c>
      <c r="AO739" t="n">
        <v>0</v>
      </c>
      <c r="AP739" t="inlineStr">
        <is>
          <t>No</t>
        </is>
      </c>
      <c r="AQ739" t="inlineStr">
        <is>
          <t>No</t>
        </is>
      </c>
      <c r="AR739">
        <f>HYPERLINK("http://catalog.hathitrust.org/Record/009518765","HathiTrust Record")</f>
        <v/>
      </c>
      <c r="AS739">
        <f>HYPERLINK("https://creighton-primo.hosted.exlibrisgroup.com/primo-explore/search?tab=default_tab&amp;search_scope=EVERYTHING&amp;vid=01CRU&amp;lang=en_US&amp;offset=0&amp;query=any,contains,991004155589702656","Catalog Record")</f>
        <v/>
      </c>
      <c r="AT739">
        <f>HYPERLINK("http://www.worldcat.org/oclc/2540308","WorldCat Record")</f>
        <v/>
      </c>
      <c r="AU739" t="inlineStr">
        <is>
          <t>5600219:eng</t>
        </is>
      </c>
      <c r="AV739" t="inlineStr">
        <is>
          <t>2540308</t>
        </is>
      </c>
      <c r="AW739" t="inlineStr">
        <is>
          <t>991004155589702656</t>
        </is>
      </c>
      <c r="AX739" t="inlineStr">
        <is>
          <t>991004155589702656</t>
        </is>
      </c>
      <c r="AY739" t="inlineStr">
        <is>
          <t>2271436930002656</t>
        </is>
      </c>
      <c r="AZ739" t="inlineStr">
        <is>
          <t>BOOK</t>
        </is>
      </c>
      <c r="BC739" t="inlineStr">
        <is>
          <t>32285002776937</t>
        </is>
      </c>
      <c r="BD739" t="inlineStr">
        <is>
          <t>893259390</t>
        </is>
      </c>
    </row>
    <row r="740">
      <c r="A740" t="inlineStr">
        <is>
          <t>No</t>
        </is>
      </c>
      <c r="B740" t="inlineStr">
        <is>
          <t>QD271 .A9513 1972</t>
        </is>
      </c>
      <c r="C740" t="inlineStr">
        <is>
          <t>0                      QD 0271000A  9513        1972</t>
        </is>
      </c>
      <c r="D740" t="inlineStr">
        <is>
          <t>Infrared spectroscopy : applications in organic chemistry / Margareta Avram [and] Gh. D. Mateescu. Translated by Ludmila Bîrlădeanu.</t>
        </is>
      </c>
      <c r="F740" t="inlineStr">
        <is>
          <t>No</t>
        </is>
      </c>
      <c r="G740" t="inlineStr">
        <is>
          <t>1</t>
        </is>
      </c>
      <c r="H740" t="inlineStr">
        <is>
          <t>No</t>
        </is>
      </c>
      <c r="I740" t="inlineStr">
        <is>
          <t>No</t>
        </is>
      </c>
      <c r="J740" t="inlineStr">
        <is>
          <t>0</t>
        </is>
      </c>
      <c r="K740" t="inlineStr">
        <is>
          <t>Avram, Margareta.</t>
        </is>
      </c>
      <c r="L740" t="inlineStr">
        <is>
          <t>New York : Wiley-Interscience, c1972.</t>
        </is>
      </c>
      <c r="M740" t="inlineStr">
        <is>
          <t>1972</t>
        </is>
      </c>
      <c r="O740" t="inlineStr">
        <is>
          <t>eng</t>
        </is>
      </c>
      <c r="P740" t="inlineStr">
        <is>
          <t>nyu</t>
        </is>
      </c>
      <c r="R740" t="inlineStr">
        <is>
          <t xml:space="preserve">QD </t>
        </is>
      </c>
      <c r="S740" t="n">
        <v>6</v>
      </c>
      <c r="T740" t="n">
        <v>6</v>
      </c>
      <c r="U740" t="inlineStr">
        <is>
          <t>1997-10-10</t>
        </is>
      </c>
      <c r="V740" t="inlineStr">
        <is>
          <t>1997-10-10</t>
        </is>
      </c>
      <c r="W740" t="inlineStr">
        <is>
          <t>1992-12-16</t>
        </is>
      </c>
      <c r="X740" t="inlineStr">
        <is>
          <t>1992-12-16</t>
        </is>
      </c>
      <c r="Y740" t="n">
        <v>434</v>
      </c>
      <c r="Z740" t="n">
        <v>351</v>
      </c>
      <c r="AA740" t="n">
        <v>373</v>
      </c>
      <c r="AB740" t="n">
        <v>4</v>
      </c>
      <c r="AC740" t="n">
        <v>4</v>
      </c>
      <c r="AD740" t="n">
        <v>12</v>
      </c>
      <c r="AE740" t="n">
        <v>12</v>
      </c>
      <c r="AF740" t="n">
        <v>6</v>
      </c>
      <c r="AG740" t="n">
        <v>6</v>
      </c>
      <c r="AH740" t="n">
        <v>3</v>
      </c>
      <c r="AI740" t="n">
        <v>3</v>
      </c>
      <c r="AJ740" t="n">
        <v>2</v>
      </c>
      <c r="AK740" t="n">
        <v>2</v>
      </c>
      <c r="AL740" t="n">
        <v>3</v>
      </c>
      <c r="AM740" t="n">
        <v>3</v>
      </c>
      <c r="AN740" t="n">
        <v>0</v>
      </c>
      <c r="AO740" t="n">
        <v>0</v>
      </c>
      <c r="AP740" t="inlineStr">
        <is>
          <t>No</t>
        </is>
      </c>
      <c r="AQ740" t="inlineStr">
        <is>
          <t>Yes</t>
        </is>
      </c>
      <c r="AR740">
        <f>HYPERLINK("http://catalog.hathitrust.org/Record/001033513","HathiTrust Record")</f>
        <v/>
      </c>
      <c r="AS740">
        <f>HYPERLINK("https://creighton-primo.hosted.exlibrisgroup.com/primo-explore/search?tab=default_tab&amp;search_scope=EVERYTHING&amp;vid=01CRU&amp;lang=en_US&amp;offset=0&amp;query=any,contains,991002497879702656","Catalog Record")</f>
        <v/>
      </c>
      <c r="AT740">
        <f>HYPERLINK("http://www.worldcat.org/oclc/364026","WorldCat Record")</f>
        <v/>
      </c>
      <c r="AU740" t="inlineStr">
        <is>
          <t>198373519:eng</t>
        </is>
      </c>
      <c r="AV740" t="inlineStr">
        <is>
          <t>364026</t>
        </is>
      </c>
      <c r="AW740" t="inlineStr">
        <is>
          <t>991002497879702656</t>
        </is>
      </c>
      <c r="AX740" t="inlineStr">
        <is>
          <t>991002497879702656</t>
        </is>
      </c>
      <c r="AY740" t="inlineStr">
        <is>
          <t>2263049930002656</t>
        </is>
      </c>
      <c r="AZ740" t="inlineStr">
        <is>
          <t>BOOK</t>
        </is>
      </c>
      <c r="BB740" t="inlineStr">
        <is>
          <t>9780471038450</t>
        </is>
      </c>
      <c r="BC740" t="inlineStr">
        <is>
          <t>32285001443364</t>
        </is>
      </c>
      <c r="BD740" t="inlineStr">
        <is>
          <t>893792530</t>
        </is>
      </c>
    </row>
    <row r="741">
      <c r="A741" t="inlineStr">
        <is>
          <t>No</t>
        </is>
      </c>
      <c r="B741" t="inlineStr">
        <is>
          <t>QD271 .B59 1958</t>
        </is>
      </c>
      <c r="C741" t="inlineStr">
        <is>
          <t>0                      QD 0271000B  59          1958</t>
        </is>
      </c>
      <c r="D741" t="inlineStr">
        <is>
          <t>A manual of paper chromatography and paper electrophoresis [by] Richard J. Block, Emmett L. Durrum [and] Gunter Zweig, with the cooperation of Raymond Lastrange, Winston H. Wingerd, and Kathryn W. Weiss.</t>
        </is>
      </c>
      <c r="F741" t="inlineStr">
        <is>
          <t>No</t>
        </is>
      </c>
      <c r="G741" t="inlineStr">
        <is>
          <t>1</t>
        </is>
      </c>
      <c r="H741" t="inlineStr">
        <is>
          <t>No</t>
        </is>
      </c>
      <c r="I741" t="inlineStr">
        <is>
          <t>No</t>
        </is>
      </c>
      <c r="J741" t="inlineStr">
        <is>
          <t>0</t>
        </is>
      </c>
      <c r="K741" t="inlineStr">
        <is>
          <t>Block, Richard Joseph, 1906-1962.</t>
        </is>
      </c>
      <c r="L741" t="inlineStr">
        <is>
          <t>New York, Academic Press, 1958.</t>
        </is>
      </c>
      <c r="M741" t="inlineStr">
        <is>
          <t>1958</t>
        </is>
      </c>
      <c r="N741" t="inlineStr">
        <is>
          <t>2d ed., rev. and enl.</t>
        </is>
      </c>
      <c r="O741" t="inlineStr">
        <is>
          <t>eng</t>
        </is>
      </c>
      <c r="P741" t="inlineStr">
        <is>
          <t>nyu</t>
        </is>
      </c>
      <c r="R741" t="inlineStr">
        <is>
          <t xml:space="preserve">QD </t>
        </is>
      </c>
      <c r="S741" t="n">
        <v>6</v>
      </c>
      <c r="T741" t="n">
        <v>6</v>
      </c>
      <c r="U741" t="inlineStr">
        <is>
          <t>2002-04-12</t>
        </is>
      </c>
      <c r="V741" t="inlineStr">
        <is>
          <t>2002-04-12</t>
        </is>
      </c>
      <c r="W741" t="inlineStr">
        <is>
          <t>1997-06-11</t>
        </is>
      </c>
      <c r="X741" t="inlineStr">
        <is>
          <t>1997-06-11</t>
        </is>
      </c>
      <c r="Y741" t="n">
        <v>645</v>
      </c>
      <c r="Z741" t="n">
        <v>511</v>
      </c>
      <c r="AA741" t="n">
        <v>638</v>
      </c>
      <c r="AB741" t="n">
        <v>5</v>
      </c>
      <c r="AC741" t="n">
        <v>5</v>
      </c>
      <c r="AD741" t="n">
        <v>23</v>
      </c>
      <c r="AE741" t="n">
        <v>29</v>
      </c>
      <c r="AF741" t="n">
        <v>8</v>
      </c>
      <c r="AG741" t="n">
        <v>10</v>
      </c>
      <c r="AH741" t="n">
        <v>7</v>
      </c>
      <c r="AI741" t="n">
        <v>8</v>
      </c>
      <c r="AJ741" t="n">
        <v>10</v>
      </c>
      <c r="AK741" t="n">
        <v>13</v>
      </c>
      <c r="AL741" t="n">
        <v>4</v>
      </c>
      <c r="AM741" t="n">
        <v>4</v>
      </c>
      <c r="AN741" t="n">
        <v>0</v>
      </c>
      <c r="AO741" t="n">
        <v>0</v>
      </c>
      <c r="AP741" t="inlineStr">
        <is>
          <t>No</t>
        </is>
      </c>
      <c r="AQ741" t="inlineStr">
        <is>
          <t>Yes</t>
        </is>
      </c>
      <c r="AR741">
        <f>HYPERLINK("http://catalog.hathitrust.org/Record/001112674","HathiTrust Record")</f>
        <v/>
      </c>
      <c r="AS741">
        <f>HYPERLINK("https://creighton-primo.hosted.exlibrisgroup.com/primo-explore/search?tab=default_tab&amp;search_scope=EVERYTHING&amp;vid=01CRU&amp;lang=en_US&amp;offset=0&amp;query=any,contains,991005353879702656","Catalog Record")</f>
        <v/>
      </c>
      <c r="AT741">
        <f>HYPERLINK("http://www.worldcat.org/oclc/224370","WorldCat Record")</f>
        <v/>
      </c>
      <c r="AU741" t="inlineStr">
        <is>
          <t>1102659711:eng</t>
        </is>
      </c>
      <c r="AV741" t="inlineStr">
        <is>
          <t>224370</t>
        </is>
      </c>
      <c r="AW741" t="inlineStr">
        <is>
          <t>991005353879702656</t>
        </is>
      </c>
      <c r="AX741" t="inlineStr">
        <is>
          <t>991005353879702656</t>
        </is>
      </c>
      <c r="AY741" t="inlineStr">
        <is>
          <t>2264254240002656</t>
        </is>
      </c>
      <c r="AZ741" t="inlineStr">
        <is>
          <t>BOOK</t>
        </is>
      </c>
      <c r="BC741" t="inlineStr">
        <is>
          <t>32285002794161</t>
        </is>
      </c>
      <c r="BD741" t="inlineStr">
        <is>
          <t>893607243</t>
        </is>
      </c>
    </row>
    <row r="742">
      <c r="A742" t="inlineStr">
        <is>
          <t>No</t>
        </is>
      </c>
      <c r="B742" t="inlineStr">
        <is>
          <t>QD271 .D4413</t>
        </is>
      </c>
      <c r="C742" t="inlineStr">
        <is>
          <t>0                      QD 0271000D  4413</t>
        </is>
      </c>
      <c r="D742" t="inlineStr">
        <is>
          <t>Gel chromatography, gel filtration, gel permeation, molecular sieves; a laboratory handbook. [Translated by Erhard Gross]</t>
        </is>
      </c>
      <c r="F742" t="inlineStr">
        <is>
          <t>No</t>
        </is>
      </c>
      <c r="G742" t="inlineStr">
        <is>
          <t>1</t>
        </is>
      </c>
      <c r="H742" t="inlineStr">
        <is>
          <t>No</t>
        </is>
      </c>
      <c r="I742" t="inlineStr">
        <is>
          <t>No</t>
        </is>
      </c>
      <c r="J742" t="inlineStr">
        <is>
          <t>0</t>
        </is>
      </c>
      <c r="K742" t="inlineStr">
        <is>
          <t>Determann, Helmut.</t>
        </is>
      </c>
      <c r="L742" t="inlineStr">
        <is>
          <t>Berlin, New York [etc.] Springer-Verlag, 1968.</t>
        </is>
      </c>
      <c r="M742" t="inlineStr">
        <is>
          <t>1968</t>
        </is>
      </c>
      <c r="O742" t="inlineStr">
        <is>
          <t>eng</t>
        </is>
      </c>
      <c r="P742" t="inlineStr">
        <is>
          <t xml:space="preserve">gw </t>
        </is>
      </c>
      <c r="R742" t="inlineStr">
        <is>
          <t xml:space="preserve">QD </t>
        </is>
      </c>
      <c r="S742" t="n">
        <v>3</v>
      </c>
      <c r="T742" t="n">
        <v>3</v>
      </c>
      <c r="U742" t="inlineStr">
        <is>
          <t>1998-02-27</t>
        </is>
      </c>
      <c r="V742" t="inlineStr">
        <is>
          <t>1998-02-27</t>
        </is>
      </c>
      <c r="W742" t="inlineStr">
        <is>
          <t>1997-06-11</t>
        </is>
      </c>
      <c r="X742" t="inlineStr">
        <is>
          <t>1997-06-11</t>
        </is>
      </c>
      <c r="Y742" t="n">
        <v>301</v>
      </c>
      <c r="Z742" t="n">
        <v>220</v>
      </c>
      <c r="AA742" t="n">
        <v>440</v>
      </c>
      <c r="AB742" t="n">
        <v>3</v>
      </c>
      <c r="AC742" t="n">
        <v>3</v>
      </c>
      <c r="AD742" t="n">
        <v>15</v>
      </c>
      <c r="AE742" t="n">
        <v>19</v>
      </c>
      <c r="AF742" t="n">
        <v>6</v>
      </c>
      <c r="AG742" t="n">
        <v>9</v>
      </c>
      <c r="AH742" t="n">
        <v>4</v>
      </c>
      <c r="AI742" t="n">
        <v>5</v>
      </c>
      <c r="AJ742" t="n">
        <v>6</v>
      </c>
      <c r="AK742" t="n">
        <v>9</v>
      </c>
      <c r="AL742" t="n">
        <v>2</v>
      </c>
      <c r="AM742" t="n">
        <v>2</v>
      </c>
      <c r="AN742" t="n">
        <v>0</v>
      </c>
      <c r="AO742" t="n">
        <v>0</v>
      </c>
      <c r="AP742" t="inlineStr">
        <is>
          <t>No</t>
        </is>
      </c>
      <c r="AQ742" t="inlineStr">
        <is>
          <t>Yes</t>
        </is>
      </c>
      <c r="AR742">
        <f>HYPERLINK("http://catalog.hathitrust.org/Record/001113706","HathiTrust Record")</f>
        <v/>
      </c>
      <c r="AS742">
        <f>HYPERLINK("https://creighton-primo.hosted.exlibrisgroup.com/primo-explore/search?tab=default_tab&amp;search_scope=EVERYTHING&amp;vid=01CRU&amp;lang=en_US&amp;offset=0&amp;query=any,contains,991003414999702656","Catalog Record")</f>
        <v/>
      </c>
      <c r="AT742">
        <f>HYPERLINK("http://www.worldcat.org/oclc/953471","WorldCat Record")</f>
        <v/>
      </c>
      <c r="AU742" t="inlineStr">
        <is>
          <t>10596081367:eng</t>
        </is>
      </c>
      <c r="AV742" t="inlineStr">
        <is>
          <t>953471</t>
        </is>
      </c>
      <c r="AW742" t="inlineStr">
        <is>
          <t>991003414999702656</t>
        </is>
      </c>
      <c r="AX742" t="inlineStr">
        <is>
          <t>991003414999702656</t>
        </is>
      </c>
      <c r="AY742" t="inlineStr">
        <is>
          <t>2260980300002656</t>
        </is>
      </c>
      <c r="AZ742" t="inlineStr">
        <is>
          <t>BOOK</t>
        </is>
      </c>
      <c r="BC742" t="inlineStr">
        <is>
          <t>32285002794195</t>
        </is>
      </c>
      <c r="BD742" t="inlineStr">
        <is>
          <t>893342539</t>
        </is>
      </c>
    </row>
    <row r="743">
      <c r="A743" t="inlineStr">
        <is>
          <t>No</t>
        </is>
      </c>
      <c r="B743" t="inlineStr">
        <is>
          <t>QD271 .H46</t>
        </is>
      </c>
      <c r="C743" t="inlineStr">
        <is>
          <t>0                      QD 0271000H  46</t>
        </is>
      </c>
      <c r="D743" t="inlineStr">
        <is>
          <t>Fluorescence and phosphorescence analysis : principles and applications / edited by David M. Hercules.</t>
        </is>
      </c>
      <c r="F743" t="inlineStr">
        <is>
          <t>No</t>
        </is>
      </c>
      <c r="G743" t="inlineStr">
        <is>
          <t>1</t>
        </is>
      </c>
      <c r="H743" t="inlineStr">
        <is>
          <t>No</t>
        </is>
      </c>
      <c r="I743" t="inlineStr">
        <is>
          <t>No</t>
        </is>
      </c>
      <c r="J743" t="inlineStr">
        <is>
          <t>0</t>
        </is>
      </c>
      <c r="K743" t="inlineStr">
        <is>
          <t>Hercules, David M., editor.</t>
        </is>
      </c>
      <c r="L743" t="inlineStr">
        <is>
          <t>New York : Interscience Publishers, [1966]</t>
        </is>
      </c>
      <c r="M743" t="inlineStr">
        <is>
          <t>1966</t>
        </is>
      </c>
      <c r="O743" t="inlineStr">
        <is>
          <t>eng</t>
        </is>
      </c>
      <c r="P743" t="inlineStr">
        <is>
          <t>nyu</t>
        </is>
      </c>
      <c r="R743" t="inlineStr">
        <is>
          <t xml:space="preserve">QD </t>
        </is>
      </c>
      <c r="S743" t="n">
        <v>1</v>
      </c>
      <c r="T743" t="n">
        <v>1</v>
      </c>
      <c r="U743" t="inlineStr">
        <is>
          <t>2001-10-08</t>
        </is>
      </c>
      <c r="V743" t="inlineStr">
        <is>
          <t>2001-10-08</t>
        </is>
      </c>
      <c r="W743" t="inlineStr">
        <is>
          <t>2000-01-10</t>
        </is>
      </c>
      <c r="X743" t="inlineStr">
        <is>
          <t>2000-01-10</t>
        </is>
      </c>
      <c r="Y743" t="n">
        <v>688</v>
      </c>
      <c r="Z743" t="n">
        <v>549</v>
      </c>
      <c r="AA743" t="n">
        <v>556</v>
      </c>
      <c r="AB743" t="n">
        <v>4</v>
      </c>
      <c r="AC743" t="n">
        <v>4</v>
      </c>
      <c r="AD743" t="n">
        <v>24</v>
      </c>
      <c r="AE743" t="n">
        <v>24</v>
      </c>
      <c r="AF743" t="n">
        <v>11</v>
      </c>
      <c r="AG743" t="n">
        <v>11</v>
      </c>
      <c r="AH743" t="n">
        <v>6</v>
      </c>
      <c r="AI743" t="n">
        <v>6</v>
      </c>
      <c r="AJ743" t="n">
        <v>10</v>
      </c>
      <c r="AK743" t="n">
        <v>10</v>
      </c>
      <c r="AL743" t="n">
        <v>3</v>
      </c>
      <c r="AM743" t="n">
        <v>3</v>
      </c>
      <c r="AN743" t="n">
        <v>0</v>
      </c>
      <c r="AO743" t="n">
        <v>0</v>
      </c>
      <c r="AP743" t="inlineStr">
        <is>
          <t>No</t>
        </is>
      </c>
      <c r="AQ743" t="inlineStr">
        <is>
          <t>Yes</t>
        </is>
      </c>
      <c r="AR743">
        <f>HYPERLINK("http://catalog.hathitrust.org/Record/001113710","HathiTrust Record")</f>
        <v/>
      </c>
      <c r="AS743">
        <f>HYPERLINK("https://creighton-primo.hosted.exlibrisgroup.com/primo-explore/search?tab=default_tab&amp;search_scope=EVERYTHING&amp;vid=01CRU&amp;lang=en_US&amp;offset=0&amp;query=any,contains,991002954769702656","Catalog Record")</f>
        <v/>
      </c>
      <c r="AT743">
        <f>HYPERLINK("http://www.worldcat.org/oclc/541576","WorldCat Record")</f>
        <v/>
      </c>
      <c r="AU743" t="inlineStr">
        <is>
          <t>891627294:eng</t>
        </is>
      </c>
      <c r="AV743" t="inlineStr">
        <is>
          <t>541576</t>
        </is>
      </c>
      <c r="AW743" t="inlineStr">
        <is>
          <t>991002954769702656</t>
        </is>
      </c>
      <c r="AX743" t="inlineStr">
        <is>
          <t>991002954769702656</t>
        </is>
      </c>
      <c r="AY743" t="inlineStr">
        <is>
          <t>2268480150002656</t>
        </is>
      </c>
      <c r="AZ743" t="inlineStr">
        <is>
          <t>BOOK</t>
        </is>
      </c>
      <c r="BC743" t="inlineStr">
        <is>
          <t>32285003638946</t>
        </is>
      </c>
      <c r="BD743" t="inlineStr">
        <is>
          <t>893415843</t>
        </is>
      </c>
    </row>
    <row r="744">
      <c r="A744" t="inlineStr">
        <is>
          <t>No</t>
        </is>
      </c>
      <c r="B744" t="inlineStr">
        <is>
          <t>QD271 .N5 1942</t>
        </is>
      </c>
      <c r="C744" t="inlineStr">
        <is>
          <t>0                      QD 0271000N  5           1942</t>
        </is>
      </c>
      <c r="D744" t="inlineStr">
        <is>
          <t>Micromethods of quantitative organic analysis, by Joseph B. Niederl ... and Victor Niederl ...</t>
        </is>
      </c>
      <c r="F744" t="inlineStr">
        <is>
          <t>No</t>
        </is>
      </c>
      <c r="G744" t="inlineStr">
        <is>
          <t>1</t>
        </is>
      </c>
      <c r="H744" t="inlineStr">
        <is>
          <t>No</t>
        </is>
      </c>
      <c r="I744" t="inlineStr">
        <is>
          <t>No</t>
        </is>
      </c>
      <c r="J744" t="inlineStr">
        <is>
          <t>0</t>
        </is>
      </c>
      <c r="K744" t="inlineStr">
        <is>
          <t>Niederl, Joseph B. (Joseph Berthold), 1899-</t>
        </is>
      </c>
      <c r="L744" t="inlineStr">
        <is>
          <t>New York, J. Wiley &amp; sons, inc.; London, Chapman &amp; Hall, limited, 1942.</t>
        </is>
      </c>
      <c r="M744" t="inlineStr">
        <is>
          <t>1942</t>
        </is>
      </c>
      <c r="N744" t="inlineStr">
        <is>
          <t>2d ed.</t>
        </is>
      </c>
      <c r="O744" t="inlineStr">
        <is>
          <t>eng</t>
        </is>
      </c>
      <c r="P744" t="inlineStr">
        <is>
          <t>nyu</t>
        </is>
      </c>
      <c r="R744" t="inlineStr">
        <is>
          <t xml:space="preserve">QD </t>
        </is>
      </c>
      <c r="S744" t="n">
        <v>1</v>
      </c>
      <c r="T744" t="n">
        <v>1</v>
      </c>
      <c r="U744" t="inlineStr">
        <is>
          <t>1996-08-21</t>
        </is>
      </c>
      <c r="V744" t="inlineStr">
        <is>
          <t>1996-08-21</t>
        </is>
      </c>
      <c r="W744" t="inlineStr">
        <is>
          <t>1996-08-21</t>
        </is>
      </c>
      <c r="X744" t="inlineStr">
        <is>
          <t>1996-08-21</t>
        </is>
      </c>
      <c r="Y744" t="n">
        <v>221</v>
      </c>
      <c r="Z744" t="n">
        <v>201</v>
      </c>
      <c r="AA744" t="n">
        <v>216</v>
      </c>
      <c r="AB744" t="n">
        <v>1</v>
      </c>
      <c r="AC744" t="n">
        <v>1</v>
      </c>
      <c r="AD744" t="n">
        <v>7</v>
      </c>
      <c r="AE744" t="n">
        <v>7</v>
      </c>
      <c r="AF744" t="n">
        <v>0</v>
      </c>
      <c r="AG744" t="n">
        <v>0</v>
      </c>
      <c r="AH744" t="n">
        <v>2</v>
      </c>
      <c r="AI744" t="n">
        <v>2</v>
      </c>
      <c r="AJ744" t="n">
        <v>6</v>
      </c>
      <c r="AK744" t="n">
        <v>6</v>
      </c>
      <c r="AL744" t="n">
        <v>0</v>
      </c>
      <c r="AM744" t="n">
        <v>0</v>
      </c>
      <c r="AN744" t="n">
        <v>0</v>
      </c>
      <c r="AO744" t="n">
        <v>0</v>
      </c>
      <c r="AP744" t="inlineStr">
        <is>
          <t>Yes</t>
        </is>
      </c>
      <c r="AQ744" t="inlineStr">
        <is>
          <t>No</t>
        </is>
      </c>
      <c r="AR744">
        <f>HYPERLINK("http://catalog.hathitrust.org/Record/001033555","HathiTrust Record")</f>
        <v/>
      </c>
      <c r="AS744">
        <f>HYPERLINK("https://creighton-primo.hosted.exlibrisgroup.com/primo-explore/search?tab=default_tab&amp;search_scope=EVERYTHING&amp;vid=01CRU&amp;lang=en_US&amp;offset=0&amp;query=any,contains,991003170039702656","Catalog Record")</f>
        <v/>
      </c>
      <c r="AT744">
        <f>HYPERLINK("http://www.worldcat.org/oclc/706577","WorldCat Record")</f>
        <v/>
      </c>
      <c r="AU744" t="inlineStr">
        <is>
          <t>1633296:eng</t>
        </is>
      </c>
      <c r="AV744" t="inlineStr">
        <is>
          <t>706577</t>
        </is>
      </c>
      <c r="AW744" t="inlineStr">
        <is>
          <t>991003170039702656</t>
        </is>
      </c>
      <c r="AX744" t="inlineStr">
        <is>
          <t>991003170039702656</t>
        </is>
      </c>
      <c r="AY744" t="inlineStr">
        <is>
          <t>2256210580002656</t>
        </is>
      </c>
      <c r="AZ744" t="inlineStr">
        <is>
          <t>BOOK</t>
        </is>
      </c>
      <c r="BC744" t="inlineStr">
        <is>
          <t>32285002279221</t>
        </is>
      </c>
      <c r="BD744" t="inlineStr">
        <is>
          <t>893799446</t>
        </is>
      </c>
    </row>
    <row r="745">
      <c r="A745" t="inlineStr">
        <is>
          <t>No</t>
        </is>
      </c>
      <c r="B745" t="inlineStr">
        <is>
          <t>QD271 .S83</t>
        </is>
      </c>
      <c r="C745" t="inlineStr">
        <is>
          <t>0                      QD 0271000S  83</t>
        </is>
      </c>
      <c r="D745" t="inlineStr">
        <is>
          <t>Chromatographic methods [by] R. Stock [and] C. B. F. Rice.</t>
        </is>
      </c>
      <c r="F745" t="inlineStr">
        <is>
          <t>No</t>
        </is>
      </c>
      <c r="G745" t="inlineStr">
        <is>
          <t>1</t>
        </is>
      </c>
      <c r="H745" t="inlineStr">
        <is>
          <t>Yes</t>
        </is>
      </c>
      <c r="I745" t="inlineStr">
        <is>
          <t>No</t>
        </is>
      </c>
      <c r="J745" t="inlineStr">
        <is>
          <t>0</t>
        </is>
      </c>
      <c r="K745" t="inlineStr">
        <is>
          <t>Stock, R. (Ralph)</t>
        </is>
      </c>
      <c r="L745" t="inlineStr">
        <is>
          <t>New York, Reinhold Pub. Corp., 1963.</t>
        </is>
      </c>
      <c r="M745" t="inlineStr">
        <is>
          <t>1963</t>
        </is>
      </c>
      <c r="O745" t="inlineStr">
        <is>
          <t>eng</t>
        </is>
      </c>
      <c r="P745" t="inlineStr">
        <is>
          <t>nyu</t>
        </is>
      </c>
      <c r="R745" t="inlineStr">
        <is>
          <t xml:space="preserve">QD </t>
        </is>
      </c>
      <c r="S745" t="n">
        <v>2</v>
      </c>
      <c r="T745" t="n">
        <v>6</v>
      </c>
      <c r="U745" t="inlineStr">
        <is>
          <t>2000-10-12</t>
        </is>
      </c>
      <c r="V745" t="inlineStr">
        <is>
          <t>2000-10-12</t>
        </is>
      </c>
      <c r="W745" t="inlineStr">
        <is>
          <t>1997-06-11</t>
        </is>
      </c>
      <c r="X745" t="inlineStr">
        <is>
          <t>1997-06-11</t>
        </is>
      </c>
      <c r="Y745" t="n">
        <v>228</v>
      </c>
      <c r="Z745" t="n">
        <v>213</v>
      </c>
      <c r="AA745" t="n">
        <v>713</v>
      </c>
      <c r="AB745" t="n">
        <v>3</v>
      </c>
      <c r="AC745" t="n">
        <v>9</v>
      </c>
      <c r="AD745" t="n">
        <v>4</v>
      </c>
      <c r="AE745" t="n">
        <v>26</v>
      </c>
      <c r="AF745" t="n">
        <v>0</v>
      </c>
      <c r="AG745" t="n">
        <v>8</v>
      </c>
      <c r="AH745" t="n">
        <v>1</v>
      </c>
      <c r="AI745" t="n">
        <v>6</v>
      </c>
      <c r="AJ745" t="n">
        <v>3</v>
      </c>
      <c r="AK745" t="n">
        <v>12</v>
      </c>
      <c r="AL745" t="n">
        <v>1</v>
      </c>
      <c r="AM745" t="n">
        <v>7</v>
      </c>
      <c r="AN745" t="n">
        <v>0</v>
      </c>
      <c r="AO745" t="n">
        <v>0</v>
      </c>
      <c r="AP745" t="inlineStr">
        <is>
          <t>No</t>
        </is>
      </c>
      <c r="AQ745" t="inlineStr">
        <is>
          <t>Yes</t>
        </is>
      </c>
      <c r="AR745">
        <f>HYPERLINK("http://catalog.hathitrust.org/Record/001487124","HathiTrust Record")</f>
        <v/>
      </c>
      <c r="AS745">
        <f>HYPERLINK("https://creighton-primo.hosted.exlibrisgroup.com/primo-explore/search?tab=default_tab&amp;search_scope=EVERYTHING&amp;vid=01CRU&amp;lang=en_US&amp;offset=0&amp;query=any,contains,991001769769702656","Catalog Record")</f>
        <v/>
      </c>
      <c r="AT745">
        <f>HYPERLINK("http://www.worldcat.org/oclc/1002086","WorldCat Record")</f>
        <v/>
      </c>
      <c r="AU745" t="inlineStr">
        <is>
          <t>4928587967:eng</t>
        </is>
      </c>
      <c r="AV745" t="inlineStr">
        <is>
          <t>1002086</t>
        </is>
      </c>
      <c r="AW745" t="inlineStr">
        <is>
          <t>991001769769702656</t>
        </is>
      </c>
      <c r="AX745" t="inlineStr">
        <is>
          <t>991001769769702656</t>
        </is>
      </c>
      <c r="AY745" t="inlineStr">
        <is>
          <t>2255665490002656</t>
        </is>
      </c>
      <c r="AZ745" t="inlineStr">
        <is>
          <t>BOOK</t>
        </is>
      </c>
      <c r="BC745" t="inlineStr">
        <is>
          <t>32285002794393</t>
        </is>
      </c>
      <c r="BD745" t="inlineStr">
        <is>
          <t>893866468</t>
        </is>
      </c>
    </row>
    <row r="746">
      <c r="A746" t="inlineStr">
        <is>
          <t>No</t>
        </is>
      </c>
      <c r="B746" t="inlineStr">
        <is>
          <t>QD271.4 .C73 1990</t>
        </is>
      </c>
      <c r="C746" t="inlineStr">
        <is>
          <t>0                      QD 0271400C  73          1990</t>
        </is>
      </c>
      <c r="D746" t="inlineStr">
        <is>
          <t>Spectral and chemical characterization of organic compounds : a laboratory handbook / W.J. Criddle and G.P. Ellis.</t>
        </is>
      </c>
      <c r="F746" t="inlineStr">
        <is>
          <t>No</t>
        </is>
      </c>
      <c r="G746" t="inlineStr">
        <is>
          <t>1</t>
        </is>
      </c>
      <c r="H746" t="inlineStr">
        <is>
          <t>No</t>
        </is>
      </c>
      <c r="I746" t="inlineStr">
        <is>
          <t>No</t>
        </is>
      </c>
      <c r="J746" t="inlineStr">
        <is>
          <t>0</t>
        </is>
      </c>
      <c r="K746" t="inlineStr">
        <is>
          <t>Criddle, W. J.</t>
        </is>
      </c>
      <c r="L746" t="inlineStr">
        <is>
          <t>Chichester [England] ; New York : Wiley, c1990.</t>
        </is>
      </c>
      <c r="M746" t="inlineStr">
        <is>
          <t>1990</t>
        </is>
      </c>
      <c r="N746" t="inlineStr">
        <is>
          <t>3rd ed.</t>
        </is>
      </c>
      <c r="O746" t="inlineStr">
        <is>
          <t>eng</t>
        </is>
      </c>
      <c r="P746" t="inlineStr">
        <is>
          <t>enk</t>
        </is>
      </c>
      <c r="R746" t="inlineStr">
        <is>
          <t xml:space="preserve">QD </t>
        </is>
      </c>
      <c r="S746" t="n">
        <v>3</v>
      </c>
      <c r="T746" t="n">
        <v>3</v>
      </c>
      <c r="U746" t="inlineStr">
        <is>
          <t>1995-03-06</t>
        </is>
      </c>
      <c r="V746" t="inlineStr">
        <is>
          <t>1995-03-06</t>
        </is>
      </c>
      <c r="W746" t="inlineStr">
        <is>
          <t>1991-05-09</t>
        </is>
      </c>
      <c r="X746" t="inlineStr">
        <is>
          <t>1991-05-09</t>
        </is>
      </c>
      <c r="Y746" t="n">
        <v>255</v>
      </c>
      <c r="Z746" t="n">
        <v>177</v>
      </c>
      <c r="AA746" t="n">
        <v>405</v>
      </c>
      <c r="AB746" t="n">
        <v>2</v>
      </c>
      <c r="AC746" t="n">
        <v>3</v>
      </c>
      <c r="AD746" t="n">
        <v>4</v>
      </c>
      <c r="AE746" t="n">
        <v>11</v>
      </c>
      <c r="AF746" t="n">
        <v>0</v>
      </c>
      <c r="AG746" t="n">
        <v>3</v>
      </c>
      <c r="AH746" t="n">
        <v>2</v>
      </c>
      <c r="AI746" t="n">
        <v>4</v>
      </c>
      <c r="AJ746" t="n">
        <v>3</v>
      </c>
      <c r="AK746" t="n">
        <v>6</v>
      </c>
      <c r="AL746" t="n">
        <v>1</v>
      </c>
      <c r="AM746" t="n">
        <v>2</v>
      </c>
      <c r="AN746" t="n">
        <v>0</v>
      </c>
      <c r="AO746" t="n">
        <v>0</v>
      </c>
      <c r="AP746" t="inlineStr">
        <is>
          <t>No</t>
        </is>
      </c>
      <c r="AQ746" t="inlineStr">
        <is>
          <t>No</t>
        </is>
      </c>
      <c r="AS746">
        <f>HYPERLINK("https://creighton-primo.hosted.exlibrisgroup.com/primo-explore/search?tab=default_tab&amp;search_scope=EVERYTHING&amp;vid=01CRU&amp;lang=en_US&amp;offset=0&amp;query=any,contains,991001627769702656","Catalog Record")</f>
        <v/>
      </c>
      <c r="AT746">
        <f>HYPERLINK("http://www.worldcat.org/oclc/20853752","WorldCat Record")</f>
        <v/>
      </c>
      <c r="AU746" t="inlineStr">
        <is>
          <t>180098599:eng</t>
        </is>
      </c>
      <c r="AV746" t="inlineStr">
        <is>
          <t>20853752</t>
        </is>
      </c>
      <c r="AW746" t="inlineStr">
        <is>
          <t>991001627769702656</t>
        </is>
      </c>
      <c r="AX746" t="inlineStr">
        <is>
          <t>991001627769702656</t>
        </is>
      </c>
      <c r="AY746" t="inlineStr">
        <is>
          <t>2269777800002656</t>
        </is>
      </c>
      <c r="AZ746" t="inlineStr">
        <is>
          <t>BOOK</t>
        </is>
      </c>
      <c r="BB746" t="inlineStr">
        <is>
          <t>9780471927150</t>
        </is>
      </c>
      <c r="BC746" t="inlineStr">
        <is>
          <t>32285000571827</t>
        </is>
      </c>
      <c r="BD746" t="inlineStr">
        <is>
          <t>893444732</t>
        </is>
      </c>
    </row>
    <row r="747">
      <c r="A747" t="inlineStr">
        <is>
          <t>No</t>
        </is>
      </c>
      <c r="B747" t="inlineStr">
        <is>
          <t>QD272.S6 C74 1998</t>
        </is>
      </c>
      <c r="C747" t="inlineStr">
        <is>
          <t>0                      QD 0272000S  6                  C  74          1998</t>
        </is>
      </c>
      <c r="D747" t="inlineStr">
        <is>
          <t>Organic structure analysis / Phillip Crews, Jaime Rodríguez, Marcel Jaspars.</t>
        </is>
      </c>
      <c r="F747" t="inlineStr">
        <is>
          <t>No</t>
        </is>
      </c>
      <c r="G747" t="inlineStr">
        <is>
          <t>1</t>
        </is>
      </c>
      <c r="H747" t="inlineStr">
        <is>
          <t>No</t>
        </is>
      </c>
      <c r="I747" t="inlineStr">
        <is>
          <t>No</t>
        </is>
      </c>
      <c r="J747" t="inlineStr">
        <is>
          <t>0</t>
        </is>
      </c>
      <c r="K747" t="inlineStr">
        <is>
          <t>Crews, Phillip, 1943-</t>
        </is>
      </c>
      <c r="L747" t="inlineStr">
        <is>
          <t>New York : Oxford University Press, 1998.</t>
        </is>
      </c>
      <c r="M747" t="inlineStr">
        <is>
          <t>1998</t>
        </is>
      </c>
      <c r="O747" t="inlineStr">
        <is>
          <t>eng</t>
        </is>
      </c>
      <c r="P747" t="inlineStr">
        <is>
          <t>nyu</t>
        </is>
      </c>
      <c r="Q747" t="inlineStr">
        <is>
          <t>Topics in organic chemistry</t>
        </is>
      </c>
      <c r="R747" t="inlineStr">
        <is>
          <t xml:space="preserve">QD </t>
        </is>
      </c>
      <c r="S747" t="n">
        <v>11</v>
      </c>
      <c r="T747" t="n">
        <v>11</v>
      </c>
      <c r="U747" t="inlineStr">
        <is>
          <t>2008-02-27</t>
        </is>
      </c>
      <c r="V747" t="inlineStr">
        <is>
          <t>2008-02-27</t>
        </is>
      </c>
      <c r="W747" t="inlineStr">
        <is>
          <t>1998-07-08</t>
        </is>
      </c>
      <c r="X747" t="inlineStr">
        <is>
          <t>1998-07-08</t>
        </is>
      </c>
      <c r="Y747" t="n">
        <v>546</v>
      </c>
      <c r="Z747" t="n">
        <v>437</v>
      </c>
      <c r="AA747" t="n">
        <v>494</v>
      </c>
      <c r="AB747" t="n">
        <v>5</v>
      </c>
      <c r="AC747" t="n">
        <v>5</v>
      </c>
      <c r="AD747" t="n">
        <v>28</v>
      </c>
      <c r="AE747" t="n">
        <v>31</v>
      </c>
      <c r="AF747" t="n">
        <v>9</v>
      </c>
      <c r="AG747" t="n">
        <v>11</v>
      </c>
      <c r="AH747" t="n">
        <v>5</v>
      </c>
      <c r="AI747" t="n">
        <v>6</v>
      </c>
      <c r="AJ747" t="n">
        <v>15</v>
      </c>
      <c r="AK747" t="n">
        <v>16</v>
      </c>
      <c r="AL747" t="n">
        <v>4</v>
      </c>
      <c r="AM747" t="n">
        <v>4</v>
      </c>
      <c r="AN747" t="n">
        <v>0</v>
      </c>
      <c r="AO747" t="n">
        <v>0</v>
      </c>
      <c r="AP747" t="inlineStr">
        <is>
          <t>No</t>
        </is>
      </c>
      <c r="AQ747" t="inlineStr">
        <is>
          <t>No</t>
        </is>
      </c>
      <c r="AS747">
        <f>HYPERLINK("https://creighton-primo.hosted.exlibrisgroup.com/primo-explore/search?tab=default_tab&amp;search_scope=EVERYTHING&amp;vid=01CRU&amp;lang=en_US&amp;offset=0&amp;query=any,contains,991005427099702656","Catalog Record")</f>
        <v/>
      </c>
      <c r="AT747">
        <f>HYPERLINK("http://www.worldcat.org/oclc/37625549","WorldCat Record")</f>
        <v/>
      </c>
      <c r="AU747" t="inlineStr">
        <is>
          <t>596846:eng</t>
        </is>
      </c>
      <c r="AV747" t="inlineStr">
        <is>
          <t>37625549</t>
        </is>
      </c>
      <c r="AW747" t="inlineStr">
        <is>
          <t>991005427099702656</t>
        </is>
      </c>
      <c r="AX747" t="inlineStr">
        <is>
          <t>991005427099702656</t>
        </is>
      </c>
      <c r="AY747" t="inlineStr">
        <is>
          <t>2260796820002656</t>
        </is>
      </c>
      <c r="AZ747" t="inlineStr">
        <is>
          <t>BOOK</t>
        </is>
      </c>
      <c r="BB747" t="inlineStr">
        <is>
          <t>9780195101027</t>
        </is>
      </c>
      <c r="BC747" t="inlineStr">
        <is>
          <t>32285003430245</t>
        </is>
      </c>
      <c r="BD747" t="inlineStr">
        <is>
          <t>893248906</t>
        </is>
      </c>
    </row>
    <row r="748">
      <c r="A748" t="inlineStr">
        <is>
          <t>No</t>
        </is>
      </c>
      <c r="B748" t="inlineStr">
        <is>
          <t>QD272.S6 D38 1984</t>
        </is>
      </c>
      <c r="C748" t="inlineStr">
        <is>
          <t>0                      QD 0272000S  6                  D  38          1984</t>
        </is>
      </c>
      <c r="D748" t="inlineStr">
        <is>
          <t>Spectral problems in organic chemistry / R. Davis and C.H.J. Wells.</t>
        </is>
      </c>
      <c r="F748" t="inlineStr">
        <is>
          <t>No</t>
        </is>
      </c>
      <c r="G748" t="inlineStr">
        <is>
          <t>1</t>
        </is>
      </c>
      <c r="H748" t="inlineStr">
        <is>
          <t>No</t>
        </is>
      </c>
      <c r="I748" t="inlineStr">
        <is>
          <t>No</t>
        </is>
      </c>
      <c r="J748" t="inlineStr">
        <is>
          <t>0</t>
        </is>
      </c>
      <c r="K748" t="inlineStr">
        <is>
          <t>Davis, R.</t>
        </is>
      </c>
      <c r="L748" t="inlineStr">
        <is>
          <t>Glasgow : International Textbook Co. ; New York : Distributed in the USA by Chapman and Hall, 1984.</t>
        </is>
      </c>
      <c r="M748" t="inlineStr">
        <is>
          <t>1984</t>
        </is>
      </c>
      <c r="O748" t="inlineStr">
        <is>
          <t>eng</t>
        </is>
      </c>
      <c r="P748" t="inlineStr">
        <is>
          <t>stk</t>
        </is>
      </c>
      <c r="R748" t="inlineStr">
        <is>
          <t xml:space="preserve">QD </t>
        </is>
      </c>
      <c r="S748" t="n">
        <v>4</v>
      </c>
      <c r="T748" t="n">
        <v>4</v>
      </c>
      <c r="U748" t="inlineStr">
        <is>
          <t>2008-02-27</t>
        </is>
      </c>
      <c r="V748" t="inlineStr">
        <is>
          <t>2008-02-27</t>
        </is>
      </c>
      <c r="W748" t="inlineStr">
        <is>
          <t>1992-05-05</t>
        </is>
      </c>
      <c r="X748" t="inlineStr">
        <is>
          <t>1992-05-05</t>
        </is>
      </c>
      <c r="Y748" t="n">
        <v>277</v>
      </c>
      <c r="Z748" t="n">
        <v>194</v>
      </c>
      <c r="AA748" t="n">
        <v>194</v>
      </c>
      <c r="AB748" t="n">
        <v>1</v>
      </c>
      <c r="AC748" t="n">
        <v>1</v>
      </c>
      <c r="AD748" t="n">
        <v>9</v>
      </c>
      <c r="AE748" t="n">
        <v>9</v>
      </c>
      <c r="AF748" t="n">
        <v>5</v>
      </c>
      <c r="AG748" t="n">
        <v>5</v>
      </c>
      <c r="AH748" t="n">
        <v>2</v>
      </c>
      <c r="AI748" t="n">
        <v>2</v>
      </c>
      <c r="AJ748" t="n">
        <v>7</v>
      </c>
      <c r="AK748" t="n">
        <v>7</v>
      </c>
      <c r="AL748" t="n">
        <v>0</v>
      </c>
      <c r="AM748" t="n">
        <v>0</v>
      </c>
      <c r="AN748" t="n">
        <v>0</v>
      </c>
      <c r="AO748" t="n">
        <v>0</v>
      </c>
      <c r="AP748" t="inlineStr">
        <is>
          <t>No</t>
        </is>
      </c>
      <c r="AQ748" t="inlineStr">
        <is>
          <t>No</t>
        </is>
      </c>
      <c r="AS748">
        <f>HYPERLINK("https://creighton-primo.hosted.exlibrisgroup.com/primo-explore/search?tab=default_tab&amp;search_scope=EVERYTHING&amp;vid=01CRU&amp;lang=en_US&amp;offset=0&amp;query=any,contains,991000439899702656","Catalog Record")</f>
        <v/>
      </c>
      <c r="AT748">
        <f>HYPERLINK("http://www.worldcat.org/oclc/10823141","WorldCat Record")</f>
        <v/>
      </c>
      <c r="AU748" t="inlineStr">
        <is>
          <t>508397123:eng</t>
        </is>
      </c>
      <c r="AV748" t="inlineStr">
        <is>
          <t>10823141</t>
        </is>
      </c>
      <c r="AW748" t="inlineStr">
        <is>
          <t>991000439899702656</t>
        </is>
      </c>
      <c r="AX748" t="inlineStr">
        <is>
          <t>991000439899702656</t>
        </is>
      </c>
      <c r="AY748" t="inlineStr">
        <is>
          <t>2262961550002656</t>
        </is>
      </c>
      <c r="AZ748" t="inlineStr">
        <is>
          <t>BOOK</t>
        </is>
      </c>
      <c r="BB748" t="inlineStr">
        <is>
          <t>9780412005619</t>
        </is>
      </c>
      <c r="BC748" t="inlineStr">
        <is>
          <t>32285001094167</t>
        </is>
      </c>
      <c r="BD748" t="inlineStr">
        <is>
          <t>893534156</t>
        </is>
      </c>
    </row>
    <row r="749">
      <c r="A749" t="inlineStr">
        <is>
          <t>No</t>
        </is>
      </c>
      <c r="B749" t="inlineStr">
        <is>
          <t>QD272.S6 F45 1995</t>
        </is>
      </c>
      <c r="C749" t="inlineStr">
        <is>
          <t>0                      QD 0272000S  6                  F  45          1995</t>
        </is>
      </c>
      <c r="D749" t="inlineStr">
        <is>
          <t>Guide to spectroscopic identification of organic compounds / Karen Feinstein.</t>
        </is>
      </c>
      <c r="F749" t="inlineStr">
        <is>
          <t>No</t>
        </is>
      </c>
      <c r="G749" t="inlineStr">
        <is>
          <t>1</t>
        </is>
      </c>
      <c r="H749" t="inlineStr">
        <is>
          <t>No</t>
        </is>
      </c>
      <c r="I749" t="inlineStr">
        <is>
          <t>No</t>
        </is>
      </c>
      <c r="J749" t="inlineStr">
        <is>
          <t>0</t>
        </is>
      </c>
      <c r="K749" t="inlineStr">
        <is>
          <t>Feinstein, Karen.</t>
        </is>
      </c>
      <c r="L749" t="inlineStr">
        <is>
          <t>Boca Raton : CRC Press, c1995.</t>
        </is>
      </c>
      <c r="M749" t="inlineStr">
        <is>
          <t>1995</t>
        </is>
      </c>
      <c r="O749" t="inlineStr">
        <is>
          <t>eng</t>
        </is>
      </c>
      <c r="P749" t="inlineStr">
        <is>
          <t>flu</t>
        </is>
      </c>
      <c r="R749" t="inlineStr">
        <is>
          <t xml:space="preserve">QD </t>
        </is>
      </c>
      <c r="S749" t="n">
        <v>2</v>
      </c>
      <c r="T749" t="n">
        <v>2</v>
      </c>
      <c r="U749" t="inlineStr">
        <is>
          <t>2008-03-11</t>
        </is>
      </c>
      <c r="V749" t="inlineStr">
        <is>
          <t>2008-03-11</t>
        </is>
      </c>
      <c r="W749" t="inlineStr">
        <is>
          <t>1998-01-21</t>
        </is>
      </c>
      <c r="X749" t="inlineStr">
        <is>
          <t>1998-01-21</t>
        </is>
      </c>
      <c r="Y749" t="n">
        <v>665</v>
      </c>
      <c r="Z749" t="n">
        <v>582</v>
      </c>
      <c r="AA749" t="n">
        <v>618</v>
      </c>
      <c r="AB749" t="n">
        <v>5</v>
      </c>
      <c r="AC749" t="n">
        <v>5</v>
      </c>
      <c r="AD749" t="n">
        <v>33</v>
      </c>
      <c r="AE749" t="n">
        <v>34</v>
      </c>
      <c r="AF749" t="n">
        <v>13</v>
      </c>
      <c r="AG749" t="n">
        <v>13</v>
      </c>
      <c r="AH749" t="n">
        <v>7</v>
      </c>
      <c r="AI749" t="n">
        <v>8</v>
      </c>
      <c r="AJ749" t="n">
        <v>18</v>
      </c>
      <c r="AK749" t="n">
        <v>18</v>
      </c>
      <c r="AL749" t="n">
        <v>4</v>
      </c>
      <c r="AM749" t="n">
        <v>4</v>
      </c>
      <c r="AN749" t="n">
        <v>0</v>
      </c>
      <c r="AO749" t="n">
        <v>0</v>
      </c>
      <c r="AP749" t="inlineStr">
        <is>
          <t>No</t>
        </is>
      </c>
      <c r="AQ749" t="inlineStr">
        <is>
          <t>No</t>
        </is>
      </c>
      <c r="AS749">
        <f>HYPERLINK("https://creighton-primo.hosted.exlibrisgroup.com/primo-explore/search?tab=default_tab&amp;search_scope=EVERYTHING&amp;vid=01CRU&amp;lang=en_US&amp;offset=0&amp;query=any,contains,991002405899702656","Catalog Record")</f>
        <v/>
      </c>
      <c r="AT749">
        <f>HYPERLINK("http://www.worldcat.org/oclc/31291513","WorldCat Record")</f>
        <v/>
      </c>
      <c r="AU749" t="inlineStr">
        <is>
          <t>33463057:eng</t>
        </is>
      </c>
      <c r="AV749" t="inlineStr">
        <is>
          <t>31291513</t>
        </is>
      </c>
      <c r="AW749" t="inlineStr">
        <is>
          <t>991002405899702656</t>
        </is>
      </c>
      <c r="AX749" t="inlineStr">
        <is>
          <t>991002405899702656</t>
        </is>
      </c>
      <c r="AY749" t="inlineStr">
        <is>
          <t>2268345900002656</t>
        </is>
      </c>
      <c r="AZ749" t="inlineStr">
        <is>
          <t>BOOK</t>
        </is>
      </c>
      <c r="BB749" t="inlineStr">
        <is>
          <t>9780849394485</t>
        </is>
      </c>
      <c r="BC749" t="inlineStr">
        <is>
          <t>32285003304200</t>
        </is>
      </c>
      <c r="BD749" t="inlineStr">
        <is>
          <t>893609828</t>
        </is>
      </c>
    </row>
    <row r="750">
      <c r="A750" t="inlineStr">
        <is>
          <t>No</t>
        </is>
      </c>
      <c r="B750" t="inlineStr">
        <is>
          <t>QD272.S6 H4713 1997</t>
        </is>
      </c>
      <c r="C750" t="inlineStr">
        <is>
          <t>0                      QD 0272000S  6                  H  4713        1997</t>
        </is>
      </c>
      <c r="D750" t="inlineStr">
        <is>
          <t>Spectroscopic methods in organic chemistry / Manfred Hesse, Herbert Meier, Bernd Zeeh ; translated by Anthony Linden and Martin Murray.</t>
        </is>
      </c>
      <c r="F750" t="inlineStr">
        <is>
          <t>No</t>
        </is>
      </c>
      <c r="G750" t="inlineStr">
        <is>
          <t>1</t>
        </is>
      </c>
      <c r="H750" t="inlineStr">
        <is>
          <t>No</t>
        </is>
      </c>
      <c r="I750" t="inlineStr">
        <is>
          <t>No</t>
        </is>
      </c>
      <c r="J750" t="inlineStr">
        <is>
          <t>0</t>
        </is>
      </c>
      <c r="K750" t="inlineStr">
        <is>
          <t>Hesse, Manfred, 1935-</t>
        </is>
      </c>
      <c r="L750" t="inlineStr">
        <is>
          <t>Stuttgart ; New York : G. Thieme, 1997.</t>
        </is>
      </c>
      <c r="M750" t="inlineStr">
        <is>
          <t>1997</t>
        </is>
      </c>
      <c r="O750" t="inlineStr">
        <is>
          <t>eng</t>
        </is>
      </c>
      <c r="P750" t="inlineStr">
        <is>
          <t xml:space="preserve">gw </t>
        </is>
      </c>
      <c r="Q750" t="inlineStr">
        <is>
          <t>Thieme foundations of organic chemistry series</t>
        </is>
      </c>
      <c r="R750" t="inlineStr">
        <is>
          <t xml:space="preserve">QD </t>
        </is>
      </c>
      <c r="S750" t="n">
        <v>14</v>
      </c>
      <c r="T750" t="n">
        <v>14</v>
      </c>
      <c r="U750" t="inlineStr">
        <is>
          <t>2008-02-27</t>
        </is>
      </c>
      <c r="V750" t="inlineStr">
        <is>
          <t>2008-02-27</t>
        </is>
      </c>
      <c r="W750" t="inlineStr">
        <is>
          <t>1998-04-23</t>
        </is>
      </c>
      <c r="X750" t="inlineStr">
        <is>
          <t>1998-04-23</t>
        </is>
      </c>
      <c r="Y750" t="n">
        <v>152</v>
      </c>
      <c r="Z750" t="n">
        <v>80</v>
      </c>
      <c r="AA750" t="n">
        <v>124</v>
      </c>
      <c r="AB750" t="n">
        <v>1</v>
      </c>
      <c r="AC750" t="n">
        <v>1</v>
      </c>
      <c r="AD750" t="n">
        <v>2</v>
      </c>
      <c r="AE750" t="n">
        <v>7</v>
      </c>
      <c r="AF750" t="n">
        <v>0</v>
      </c>
      <c r="AG750" t="n">
        <v>2</v>
      </c>
      <c r="AH750" t="n">
        <v>2</v>
      </c>
      <c r="AI750" t="n">
        <v>3</v>
      </c>
      <c r="AJ750" t="n">
        <v>1</v>
      </c>
      <c r="AK750" t="n">
        <v>4</v>
      </c>
      <c r="AL750" t="n">
        <v>0</v>
      </c>
      <c r="AM750" t="n">
        <v>0</v>
      </c>
      <c r="AN750" t="n">
        <v>0</v>
      </c>
      <c r="AO750" t="n">
        <v>0</v>
      </c>
      <c r="AP750" t="inlineStr">
        <is>
          <t>No</t>
        </is>
      </c>
      <c r="AQ750" t="inlineStr">
        <is>
          <t>No</t>
        </is>
      </c>
      <c r="AS750">
        <f>HYPERLINK("https://creighton-primo.hosted.exlibrisgroup.com/primo-explore/search?tab=default_tab&amp;search_scope=EVERYTHING&amp;vid=01CRU&amp;lang=en_US&amp;offset=0&amp;query=any,contains,991005424669702656","Catalog Record")</f>
        <v/>
      </c>
      <c r="AT750">
        <f>HYPERLINK("http://www.worldcat.org/oclc/35280639","WorldCat Record")</f>
        <v/>
      </c>
      <c r="AU750" t="inlineStr">
        <is>
          <t>1864420474:eng</t>
        </is>
      </c>
      <c r="AV750" t="inlineStr">
        <is>
          <t>35280639</t>
        </is>
      </c>
      <c r="AW750" t="inlineStr">
        <is>
          <t>991005424669702656</t>
        </is>
      </c>
      <c r="AX750" t="inlineStr">
        <is>
          <t>991005424669702656</t>
        </is>
      </c>
      <c r="AY750" t="inlineStr">
        <is>
          <t>2255083790002656</t>
        </is>
      </c>
      <c r="AZ750" t="inlineStr">
        <is>
          <t>BOOK</t>
        </is>
      </c>
      <c r="BB750" t="inlineStr">
        <is>
          <t>9780865776678</t>
        </is>
      </c>
      <c r="BC750" t="inlineStr">
        <is>
          <t>32285003377560</t>
        </is>
      </c>
      <c r="BD750" t="inlineStr">
        <is>
          <t>893425146</t>
        </is>
      </c>
    </row>
    <row r="751">
      <c r="A751" t="inlineStr">
        <is>
          <t>No</t>
        </is>
      </c>
      <c r="B751" t="inlineStr">
        <is>
          <t>QD272.S6 J34 2000</t>
        </is>
      </c>
      <c r="C751" t="inlineStr">
        <is>
          <t>0                      QD 0272000S  6                  J  34          2000</t>
        </is>
      </c>
      <c r="D751" t="inlineStr">
        <is>
          <t>Organic spectroscopy : principles and applications / Jag Mohan.</t>
        </is>
      </c>
      <c r="F751" t="inlineStr">
        <is>
          <t>No</t>
        </is>
      </c>
      <c r="G751" t="inlineStr">
        <is>
          <t>1</t>
        </is>
      </c>
      <c r="H751" t="inlineStr">
        <is>
          <t>No</t>
        </is>
      </c>
      <c r="I751" t="inlineStr">
        <is>
          <t>No</t>
        </is>
      </c>
      <c r="J751" t="inlineStr">
        <is>
          <t>0</t>
        </is>
      </c>
      <c r="K751" t="inlineStr">
        <is>
          <t>Jag Mohan, 1923-</t>
        </is>
      </c>
      <c r="L751" t="inlineStr">
        <is>
          <t>Boca Raton : CRC ; New Delhi : Narosa Pub. House, 2000.</t>
        </is>
      </c>
      <c r="M751" t="inlineStr">
        <is>
          <t>2000</t>
        </is>
      </c>
      <c r="O751" t="inlineStr">
        <is>
          <t>eng</t>
        </is>
      </c>
      <c r="P751" t="inlineStr">
        <is>
          <t>flu</t>
        </is>
      </c>
      <c r="R751" t="inlineStr">
        <is>
          <t xml:space="preserve">QD </t>
        </is>
      </c>
      <c r="S751" t="n">
        <v>3</v>
      </c>
      <c r="T751" t="n">
        <v>3</v>
      </c>
      <c r="U751" t="inlineStr">
        <is>
          <t>2007-11-14</t>
        </is>
      </c>
      <c r="V751" t="inlineStr">
        <is>
          <t>2007-11-14</t>
        </is>
      </c>
      <c r="W751" t="inlineStr">
        <is>
          <t>2002-05-08</t>
        </is>
      </c>
      <c r="X751" t="inlineStr">
        <is>
          <t>2002-05-08</t>
        </is>
      </c>
      <c r="Y751" t="n">
        <v>115</v>
      </c>
      <c r="Z751" t="n">
        <v>90</v>
      </c>
      <c r="AA751" t="n">
        <v>142</v>
      </c>
      <c r="AB751" t="n">
        <v>3</v>
      </c>
      <c r="AC751" t="n">
        <v>3</v>
      </c>
      <c r="AD751" t="n">
        <v>6</v>
      </c>
      <c r="AE751" t="n">
        <v>10</v>
      </c>
      <c r="AF751" t="n">
        <v>1</v>
      </c>
      <c r="AG751" t="n">
        <v>1</v>
      </c>
      <c r="AH751" t="n">
        <v>2</v>
      </c>
      <c r="AI751" t="n">
        <v>4</v>
      </c>
      <c r="AJ751" t="n">
        <v>2</v>
      </c>
      <c r="AK751" t="n">
        <v>6</v>
      </c>
      <c r="AL751" t="n">
        <v>2</v>
      </c>
      <c r="AM751" t="n">
        <v>2</v>
      </c>
      <c r="AN751" t="n">
        <v>0</v>
      </c>
      <c r="AO751" t="n">
        <v>0</v>
      </c>
      <c r="AP751" t="inlineStr">
        <is>
          <t>No</t>
        </is>
      </c>
      <c r="AQ751" t="inlineStr">
        <is>
          <t>No</t>
        </is>
      </c>
      <c r="AS751">
        <f>HYPERLINK("https://creighton-primo.hosted.exlibrisgroup.com/primo-explore/search?tab=default_tab&amp;search_scope=EVERYTHING&amp;vid=01CRU&amp;lang=en_US&amp;offset=0&amp;query=any,contains,991003756059702656","Catalog Record")</f>
        <v/>
      </c>
      <c r="AT751">
        <f>HYPERLINK("http://www.worldcat.org/oclc/49378280","WorldCat Record")</f>
        <v/>
      </c>
      <c r="AU751" t="inlineStr">
        <is>
          <t>864538161:eng</t>
        </is>
      </c>
      <c r="AV751" t="inlineStr">
        <is>
          <t>49378280</t>
        </is>
      </c>
      <c r="AW751" t="inlineStr">
        <is>
          <t>991003756059702656</t>
        </is>
      </c>
      <c r="AX751" t="inlineStr">
        <is>
          <t>991003756059702656</t>
        </is>
      </c>
      <c r="AY751" t="inlineStr">
        <is>
          <t>2266065430002656</t>
        </is>
      </c>
      <c r="AZ751" t="inlineStr">
        <is>
          <t>BOOK</t>
        </is>
      </c>
      <c r="BB751" t="inlineStr">
        <is>
          <t>9780849310072</t>
        </is>
      </c>
      <c r="BC751" t="inlineStr">
        <is>
          <t>32285004486311</t>
        </is>
      </c>
      <c r="BD751" t="inlineStr">
        <is>
          <t>893342967</t>
        </is>
      </c>
    </row>
    <row r="752">
      <c r="A752" t="inlineStr">
        <is>
          <t>No</t>
        </is>
      </c>
      <c r="B752" t="inlineStr">
        <is>
          <t>QD272.S6 S55</t>
        </is>
      </c>
      <c r="C752" t="inlineStr">
        <is>
          <t>0                      QD 0272000S  6                  S  55</t>
        </is>
      </c>
      <c r="D752" t="inlineStr">
        <is>
          <t>Spectrometric identification of organic compounds / [by] Robert M. Silverstein [and] G. Clayton Bassler.</t>
        </is>
      </c>
      <c r="F752" t="inlineStr">
        <is>
          <t>No</t>
        </is>
      </c>
      <c r="G752" t="inlineStr">
        <is>
          <t>1</t>
        </is>
      </c>
      <c r="H752" t="inlineStr">
        <is>
          <t>No</t>
        </is>
      </c>
      <c r="I752" t="inlineStr">
        <is>
          <t>Yes</t>
        </is>
      </c>
      <c r="J752" t="inlineStr">
        <is>
          <t>0</t>
        </is>
      </c>
      <c r="K752" t="inlineStr">
        <is>
          <t>Silverstein, Robert M. (Robert Milton), 1916-2007.</t>
        </is>
      </c>
      <c r="L752" t="inlineStr">
        <is>
          <t>New York : Wiley, [1963]</t>
        </is>
      </c>
      <c r="M752" t="inlineStr">
        <is>
          <t>1963</t>
        </is>
      </c>
      <c r="O752" t="inlineStr">
        <is>
          <t>eng</t>
        </is>
      </c>
      <c r="P752" t="inlineStr">
        <is>
          <t>nyu</t>
        </is>
      </c>
      <c r="R752" t="inlineStr">
        <is>
          <t xml:space="preserve">QD </t>
        </is>
      </c>
      <c r="S752" t="n">
        <v>5</v>
      </c>
      <c r="T752" t="n">
        <v>5</v>
      </c>
      <c r="U752" t="inlineStr">
        <is>
          <t>2008-03-11</t>
        </is>
      </c>
      <c r="V752" t="inlineStr">
        <is>
          <t>2008-03-11</t>
        </is>
      </c>
      <c r="W752" t="inlineStr">
        <is>
          <t>1995-12-21</t>
        </is>
      </c>
      <c r="X752" t="inlineStr">
        <is>
          <t>1995-12-21</t>
        </is>
      </c>
      <c r="Y752" t="n">
        <v>431</v>
      </c>
      <c r="Z752" t="n">
        <v>351</v>
      </c>
      <c r="AA752" t="n">
        <v>1469</v>
      </c>
      <c r="AB752" t="n">
        <v>2</v>
      </c>
      <c r="AC752" t="n">
        <v>11</v>
      </c>
      <c r="AD752" t="n">
        <v>9</v>
      </c>
      <c r="AE752" t="n">
        <v>49</v>
      </c>
      <c r="AF752" t="n">
        <v>3</v>
      </c>
      <c r="AG752" t="n">
        <v>21</v>
      </c>
      <c r="AH752" t="n">
        <v>1</v>
      </c>
      <c r="AI752" t="n">
        <v>9</v>
      </c>
      <c r="AJ752" t="n">
        <v>7</v>
      </c>
      <c r="AK752" t="n">
        <v>19</v>
      </c>
      <c r="AL752" t="n">
        <v>1</v>
      </c>
      <c r="AM752" t="n">
        <v>9</v>
      </c>
      <c r="AN752" t="n">
        <v>0</v>
      </c>
      <c r="AO752" t="n">
        <v>0</v>
      </c>
      <c r="AP752" t="inlineStr">
        <is>
          <t>No</t>
        </is>
      </c>
      <c r="AQ752" t="inlineStr">
        <is>
          <t>Yes</t>
        </is>
      </c>
      <c r="AR752">
        <f>HYPERLINK("http://catalog.hathitrust.org/Record/001033602","HathiTrust Record")</f>
        <v/>
      </c>
      <c r="AS752">
        <f>HYPERLINK("https://creighton-primo.hosted.exlibrisgroup.com/primo-explore/search?tab=default_tab&amp;search_scope=EVERYTHING&amp;vid=01CRU&amp;lang=en_US&amp;offset=0&amp;query=any,contains,991002956269702656","Catalog Record")</f>
        <v/>
      </c>
      <c r="AT752">
        <f>HYPERLINK("http://www.worldcat.org/oclc/542204","WorldCat Record")</f>
        <v/>
      </c>
      <c r="AU752" t="inlineStr">
        <is>
          <t>407449314:eng</t>
        </is>
      </c>
      <c r="AV752" t="inlineStr">
        <is>
          <t>542204</t>
        </is>
      </c>
      <c r="AW752" t="inlineStr">
        <is>
          <t>991002956269702656</t>
        </is>
      </c>
      <c r="AX752" t="inlineStr">
        <is>
          <t>991002956269702656</t>
        </is>
      </c>
      <c r="AY752" t="inlineStr">
        <is>
          <t>2266642130002656</t>
        </is>
      </c>
      <c r="AZ752" t="inlineStr">
        <is>
          <t>BOOK</t>
        </is>
      </c>
      <c r="BC752" t="inlineStr">
        <is>
          <t>32285002120441</t>
        </is>
      </c>
      <c r="BD752" t="inlineStr">
        <is>
          <t>893440740</t>
        </is>
      </c>
    </row>
    <row r="753">
      <c r="A753" t="inlineStr">
        <is>
          <t>No</t>
        </is>
      </c>
      <c r="B753" t="inlineStr">
        <is>
          <t>QD272.S6 S74 2008</t>
        </is>
      </c>
      <c r="C753" t="inlineStr">
        <is>
          <t>0                      QD 0272000S  6                  S  74          2008</t>
        </is>
      </c>
      <c r="D753" t="inlineStr">
        <is>
          <t>Organic structures from spectra / L.D. Field, S. Sternhell, J. R. Kalman.</t>
        </is>
      </c>
      <c r="F753" t="inlineStr">
        <is>
          <t>No</t>
        </is>
      </c>
      <c r="G753" t="inlineStr">
        <is>
          <t>1</t>
        </is>
      </c>
      <c r="H753" t="inlineStr">
        <is>
          <t>No</t>
        </is>
      </c>
      <c r="I753" t="inlineStr">
        <is>
          <t>No</t>
        </is>
      </c>
      <c r="J753" t="inlineStr">
        <is>
          <t>0</t>
        </is>
      </c>
      <c r="K753" t="inlineStr">
        <is>
          <t>Field, L. D.</t>
        </is>
      </c>
      <c r="L753" t="inlineStr">
        <is>
          <t>Chichester : John Wiley and Sons Ltd, c2008.</t>
        </is>
      </c>
      <c r="M753" t="inlineStr">
        <is>
          <t>2008</t>
        </is>
      </c>
      <c r="N753" t="inlineStr">
        <is>
          <t>4th ed.</t>
        </is>
      </c>
      <c r="O753" t="inlineStr">
        <is>
          <t>eng</t>
        </is>
      </c>
      <c r="P753" t="inlineStr">
        <is>
          <t>enk</t>
        </is>
      </c>
      <c r="R753" t="inlineStr">
        <is>
          <t xml:space="preserve">QD </t>
        </is>
      </c>
      <c r="S753" t="n">
        <v>1</v>
      </c>
      <c r="T753" t="n">
        <v>1</v>
      </c>
      <c r="U753" t="inlineStr">
        <is>
          <t>2010-02-22</t>
        </is>
      </c>
      <c r="V753" t="inlineStr">
        <is>
          <t>2010-02-22</t>
        </is>
      </c>
      <c r="W753" t="inlineStr">
        <is>
          <t>2010-02-22</t>
        </is>
      </c>
      <c r="X753" t="inlineStr">
        <is>
          <t>2010-02-22</t>
        </is>
      </c>
      <c r="Y753" t="n">
        <v>259</v>
      </c>
      <c r="Z753" t="n">
        <v>144</v>
      </c>
      <c r="AA753" t="n">
        <v>665</v>
      </c>
      <c r="AB753" t="n">
        <v>4</v>
      </c>
      <c r="AC753" t="n">
        <v>8</v>
      </c>
      <c r="AD753" t="n">
        <v>14</v>
      </c>
      <c r="AE753" t="n">
        <v>37</v>
      </c>
      <c r="AF753" t="n">
        <v>6</v>
      </c>
      <c r="AG753" t="n">
        <v>12</v>
      </c>
      <c r="AH753" t="n">
        <v>4</v>
      </c>
      <c r="AI753" t="n">
        <v>7</v>
      </c>
      <c r="AJ753" t="n">
        <v>5</v>
      </c>
      <c r="AK753" t="n">
        <v>18</v>
      </c>
      <c r="AL753" t="n">
        <v>3</v>
      </c>
      <c r="AM753" t="n">
        <v>7</v>
      </c>
      <c r="AN753" t="n">
        <v>0</v>
      </c>
      <c r="AO753" t="n">
        <v>0</v>
      </c>
      <c r="AP753" t="inlineStr">
        <is>
          <t>No</t>
        </is>
      </c>
      <c r="AQ753" t="inlineStr">
        <is>
          <t>Yes</t>
        </is>
      </c>
      <c r="AR753">
        <f>HYPERLINK("http://catalog.hathitrust.org/Record/005900135","HathiTrust Record")</f>
        <v/>
      </c>
      <c r="AS753">
        <f>HYPERLINK("https://creighton-primo.hosted.exlibrisgroup.com/primo-explore/search?tab=default_tab&amp;search_scope=EVERYTHING&amp;vid=01CRU&amp;lang=en_US&amp;offset=0&amp;query=any,contains,991005363729702656","Catalog Record")</f>
        <v/>
      </c>
      <c r="AT753">
        <f>HYPERLINK("http://www.worldcat.org/oclc/182734274","WorldCat Record")</f>
        <v/>
      </c>
      <c r="AU753" t="inlineStr">
        <is>
          <t>34796046:eng</t>
        </is>
      </c>
      <c r="AV753" t="inlineStr">
        <is>
          <t>182734274</t>
        </is>
      </c>
      <c r="AW753" t="inlineStr">
        <is>
          <t>991005363729702656</t>
        </is>
      </c>
      <c r="AX753" t="inlineStr">
        <is>
          <t>991005363729702656</t>
        </is>
      </c>
      <c r="AY753" t="inlineStr">
        <is>
          <t>2269980980002656</t>
        </is>
      </c>
      <c r="AZ753" t="inlineStr">
        <is>
          <t>BOOK</t>
        </is>
      </c>
      <c r="BB753" t="inlineStr">
        <is>
          <t>9780470319260</t>
        </is>
      </c>
      <c r="BC753" t="inlineStr">
        <is>
          <t>32285005574693</t>
        </is>
      </c>
      <c r="BD753" t="inlineStr">
        <is>
          <t>893230590</t>
        </is>
      </c>
    </row>
    <row r="754">
      <c r="A754" t="inlineStr">
        <is>
          <t>No</t>
        </is>
      </c>
      <c r="B754" t="inlineStr">
        <is>
          <t>QD272.S6 T33 2007</t>
        </is>
      </c>
      <c r="C754" t="inlineStr">
        <is>
          <t>0                      QD 0272000S  6                  T  33          2007</t>
        </is>
      </c>
      <c r="D754" t="inlineStr">
        <is>
          <t>Organic spectroscopic structure determination : a problem-based learning approach / Douglass F. Taber.</t>
        </is>
      </c>
      <c r="F754" t="inlineStr">
        <is>
          <t>No</t>
        </is>
      </c>
      <c r="G754" t="inlineStr">
        <is>
          <t>1</t>
        </is>
      </c>
      <c r="H754" t="inlineStr">
        <is>
          <t>No</t>
        </is>
      </c>
      <c r="I754" t="inlineStr">
        <is>
          <t>No</t>
        </is>
      </c>
      <c r="J754" t="inlineStr">
        <is>
          <t>0</t>
        </is>
      </c>
      <c r="K754" t="inlineStr">
        <is>
          <t>Taber, D. F. (Douglass F.), 1948-</t>
        </is>
      </c>
      <c r="L754" t="inlineStr">
        <is>
          <t>New York : Oxford University Press, 2007.</t>
        </is>
      </c>
      <c r="M754" t="inlineStr">
        <is>
          <t>2007</t>
        </is>
      </c>
      <c r="O754" t="inlineStr">
        <is>
          <t>eng</t>
        </is>
      </c>
      <c r="P754" t="inlineStr">
        <is>
          <t>nyu</t>
        </is>
      </c>
      <c r="R754" t="inlineStr">
        <is>
          <t xml:space="preserve">QD </t>
        </is>
      </c>
      <c r="S754" t="n">
        <v>1</v>
      </c>
      <c r="T754" t="n">
        <v>1</v>
      </c>
      <c r="U754" t="inlineStr">
        <is>
          <t>2008-04-21</t>
        </is>
      </c>
      <c r="V754" t="inlineStr">
        <is>
          <t>2008-04-21</t>
        </is>
      </c>
      <c r="W754" t="inlineStr">
        <is>
          <t>2008-04-21</t>
        </is>
      </c>
      <c r="X754" t="inlineStr">
        <is>
          <t>2008-04-21</t>
        </is>
      </c>
      <c r="Y754" t="n">
        <v>122</v>
      </c>
      <c r="Z754" t="n">
        <v>79</v>
      </c>
      <c r="AA754" t="n">
        <v>80</v>
      </c>
      <c r="AB754" t="n">
        <v>1</v>
      </c>
      <c r="AC754" t="n">
        <v>1</v>
      </c>
      <c r="AD754" t="n">
        <v>2</v>
      </c>
      <c r="AE754" t="n">
        <v>2</v>
      </c>
      <c r="AF754" t="n">
        <v>2</v>
      </c>
      <c r="AG754" t="n">
        <v>2</v>
      </c>
      <c r="AH754" t="n">
        <v>0</v>
      </c>
      <c r="AI754" t="n">
        <v>0</v>
      </c>
      <c r="AJ754" t="n">
        <v>0</v>
      </c>
      <c r="AK754" t="n">
        <v>0</v>
      </c>
      <c r="AL754" t="n">
        <v>0</v>
      </c>
      <c r="AM754" t="n">
        <v>0</v>
      </c>
      <c r="AN754" t="n">
        <v>0</v>
      </c>
      <c r="AO754" t="n">
        <v>0</v>
      </c>
      <c r="AP754" t="inlineStr">
        <is>
          <t>No</t>
        </is>
      </c>
      <c r="AQ754" t="inlineStr">
        <is>
          <t>No</t>
        </is>
      </c>
      <c r="AS754">
        <f>HYPERLINK("https://creighton-primo.hosted.exlibrisgroup.com/primo-explore/search?tab=default_tab&amp;search_scope=EVERYTHING&amp;vid=01CRU&amp;lang=en_US&amp;offset=0&amp;query=any,contains,991005200639702656","Catalog Record")</f>
        <v/>
      </c>
      <c r="AT754">
        <f>HYPERLINK("http://www.worldcat.org/oclc/74460148","WorldCat Record")</f>
        <v/>
      </c>
      <c r="AU754" t="inlineStr">
        <is>
          <t>149401442:eng</t>
        </is>
      </c>
      <c r="AV754" t="inlineStr">
        <is>
          <t>74460148</t>
        </is>
      </c>
      <c r="AW754" t="inlineStr">
        <is>
          <t>991005200639702656</t>
        </is>
      </c>
      <c r="AX754" t="inlineStr">
        <is>
          <t>991005200639702656</t>
        </is>
      </c>
      <c r="AY754" t="inlineStr">
        <is>
          <t>2260091210002656</t>
        </is>
      </c>
      <c r="AZ754" t="inlineStr">
        <is>
          <t>BOOK</t>
        </is>
      </c>
      <c r="BB754" t="inlineStr">
        <is>
          <t>9780195314700</t>
        </is>
      </c>
      <c r="BC754" t="inlineStr">
        <is>
          <t>32285005403893</t>
        </is>
      </c>
      <c r="BD754" t="inlineStr">
        <is>
          <t>893501492</t>
        </is>
      </c>
    </row>
    <row r="755">
      <c r="A755" t="inlineStr">
        <is>
          <t>No</t>
        </is>
      </c>
      <c r="B755" t="inlineStr">
        <is>
          <t>QD281.P6 F6 v.100</t>
        </is>
      </c>
      <c r="C755" t="inlineStr">
        <is>
          <t>0                      QD 0281000P  6                  F  6                                 v.100</t>
        </is>
      </c>
      <c r="D755" t="inlineStr">
        <is>
          <t>Macromolecules : synthesis, order and advanced properties / with contributions by K.A. Armitstead [i.e. Armistead] ... [et al.]</t>
        </is>
      </c>
      <c r="E755" t="inlineStr">
        <is>
          <t>V.100</t>
        </is>
      </c>
      <c r="F755" t="inlineStr">
        <is>
          <t>No</t>
        </is>
      </c>
      <c r="G755" t="inlineStr">
        <is>
          <t>1</t>
        </is>
      </c>
      <c r="H755" t="inlineStr">
        <is>
          <t>No</t>
        </is>
      </c>
      <c r="I755" t="inlineStr">
        <is>
          <t>No</t>
        </is>
      </c>
      <c r="J755" t="inlineStr">
        <is>
          <t>0</t>
        </is>
      </c>
      <c r="L755" t="inlineStr">
        <is>
          <t>Berlin ; New York : Springer-Verlag, c1992.</t>
        </is>
      </c>
      <c r="M755" t="inlineStr">
        <is>
          <t>1992</t>
        </is>
      </c>
      <c r="O755" t="inlineStr">
        <is>
          <t>eng</t>
        </is>
      </c>
      <c r="P755" t="inlineStr">
        <is>
          <t xml:space="preserve">gw </t>
        </is>
      </c>
      <c r="Q755" t="inlineStr">
        <is>
          <t>Advances in polymer science ; 100</t>
        </is>
      </c>
      <c r="R755" t="inlineStr">
        <is>
          <t xml:space="preserve">QD </t>
        </is>
      </c>
      <c r="S755" t="n">
        <v>4</v>
      </c>
      <c r="T755" t="n">
        <v>4</v>
      </c>
      <c r="U755" t="inlineStr">
        <is>
          <t>2006-07-09</t>
        </is>
      </c>
      <c r="V755" t="inlineStr">
        <is>
          <t>2006-07-09</t>
        </is>
      </c>
      <c r="W755" t="inlineStr">
        <is>
          <t>1992-12-09</t>
        </is>
      </c>
      <c r="X755" t="inlineStr">
        <is>
          <t>1992-12-09</t>
        </is>
      </c>
      <c r="Y755" t="n">
        <v>108</v>
      </c>
      <c r="Z755" t="n">
        <v>66</v>
      </c>
      <c r="AA755" t="n">
        <v>114</v>
      </c>
      <c r="AB755" t="n">
        <v>1</v>
      </c>
      <c r="AC755" t="n">
        <v>1</v>
      </c>
      <c r="AD755" t="n">
        <v>2</v>
      </c>
      <c r="AE755" t="n">
        <v>3</v>
      </c>
      <c r="AF755" t="n">
        <v>0</v>
      </c>
      <c r="AG755" t="n">
        <v>1</v>
      </c>
      <c r="AH755" t="n">
        <v>2</v>
      </c>
      <c r="AI755" t="n">
        <v>2</v>
      </c>
      <c r="AJ755" t="n">
        <v>1</v>
      </c>
      <c r="AK755" t="n">
        <v>2</v>
      </c>
      <c r="AL755" t="n">
        <v>0</v>
      </c>
      <c r="AM755" t="n">
        <v>0</v>
      </c>
      <c r="AN755" t="n">
        <v>0</v>
      </c>
      <c r="AO755" t="n">
        <v>0</v>
      </c>
      <c r="AP755" t="inlineStr">
        <is>
          <t>No</t>
        </is>
      </c>
      <c r="AQ755" t="inlineStr">
        <is>
          <t>No</t>
        </is>
      </c>
      <c r="AS755">
        <f>HYPERLINK("https://creighton-primo.hosted.exlibrisgroup.com/primo-explore/search?tab=default_tab&amp;search_scope=EVERYTHING&amp;vid=01CRU&amp;lang=en_US&amp;offset=0&amp;query=any,contains,991002004209702656","Catalog Record")</f>
        <v/>
      </c>
      <c r="AT755">
        <f>HYPERLINK("http://www.worldcat.org/oclc/25497325","WorldCat Record")</f>
        <v/>
      </c>
      <c r="AU755" t="inlineStr">
        <is>
          <t>28404960:eng</t>
        </is>
      </c>
      <c r="AV755" t="inlineStr">
        <is>
          <t>25497325</t>
        </is>
      </c>
      <c r="AW755" t="inlineStr">
        <is>
          <t>991002004209702656</t>
        </is>
      </c>
      <c r="AX755" t="inlineStr">
        <is>
          <t>991002004209702656</t>
        </is>
      </c>
      <c r="AY755" t="inlineStr">
        <is>
          <t>2263661740002656</t>
        </is>
      </c>
      <c r="AZ755" t="inlineStr">
        <is>
          <t>BOOK</t>
        </is>
      </c>
      <c r="BB755" t="inlineStr">
        <is>
          <t>9780387544908</t>
        </is>
      </c>
      <c r="BC755" t="inlineStr">
        <is>
          <t>32285001403236</t>
        </is>
      </c>
      <c r="BD755" t="inlineStr">
        <is>
          <t>893262032</t>
        </is>
      </c>
    </row>
    <row r="756">
      <c r="A756" t="inlineStr">
        <is>
          <t>No</t>
        </is>
      </c>
      <c r="B756" t="inlineStr">
        <is>
          <t>QD281.P6 M6665 2007</t>
        </is>
      </c>
      <c r="C756" t="inlineStr">
        <is>
          <t>0                      QD 0281000P  6                  M  6665        2007</t>
        </is>
      </c>
      <c r="D756" t="inlineStr">
        <is>
          <t>Monomer and polymer research frontiers / Alberto D'Amore and Gennady Zaikov, editors.</t>
        </is>
      </c>
      <c r="F756" t="inlineStr">
        <is>
          <t>No</t>
        </is>
      </c>
      <c r="G756" t="inlineStr">
        <is>
          <t>1</t>
        </is>
      </c>
      <c r="H756" t="inlineStr">
        <is>
          <t>No</t>
        </is>
      </c>
      <c r="I756" t="inlineStr">
        <is>
          <t>No</t>
        </is>
      </c>
      <c r="J756" t="inlineStr">
        <is>
          <t>0</t>
        </is>
      </c>
      <c r="L756" t="inlineStr">
        <is>
          <t>New York : Nova Science Publishers, c2007.</t>
        </is>
      </c>
      <c r="M756" t="inlineStr">
        <is>
          <t>2007</t>
        </is>
      </c>
      <c r="O756" t="inlineStr">
        <is>
          <t>eng</t>
        </is>
      </c>
      <c r="P756" t="inlineStr">
        <is>
          <t>nyu</t>
        </is>
      </c>
      <c r="R756" t="inlineStr">
        <is>
          <t xml:space="preserve">QD </t>
        </is>
      </c>
      <c r="S756" t="n">
        <v>1</v>
      </c>
      <c r="T756" t="n">
        <v>1</v>
      </c>
      <c r="U756" t="inlineStr">
        <is>
          <t>2007-07-16</t>
        </is>
      </c>
      <c r="V756" t="inlineStr">
        <is>
          <t>2007-07-16</t>
        </is>
      </c>
      <c r="W756" t="inlineStr">
        <is>
          <t>2007-07-16</t>
        </is>
      </c>
      <c r="X756" t="inlineStr">
        <is>
          <t>2007-07-16</t>
        </is>
      </c>
      <c r="Y756" t="n">
        <v>41</v>
      </c>
      <c r="Z756" t="n">
        <v>32</v>
      </c>
      <c r="AA756" t="n">
        <v>32</v>
      </c>
      <c r="AB756" t="n">
        <v>1</v>
      </c>
      <c r="AC756" t="n">
        <v>1</v>
      </c>
      <c r="AD756" t="n">
        <v>0</v>
      </c>
      <c r="AE756" t="n">
        <v>0</v>
      </c>
      <c r="AF756" t="n">
        <v>0</v>
      </c>
      <c r="AG756" t="n">
        <v>0</v>
      </c>
      <c r="AH756" t="n">
        <v>0</v>
      </c>
      <c r="AI756" t="n">
        <v>0</v>
      </c>
      <c r="AJ756" t="n">
        <v>0</v>
      </c>
      <c r="AK756" t="n">
        <v>0</v>
      </c>
      <c r="AL756" t="n">
        <v>0</v>
      </c>
      <c r="AM756" t="n">
        <v>0</v>
      </c>
      <c r="AN756" t="n">
        <v>0</v>
      </c>
      <c r="AO756" t="n">
        <v>0</v>
      </c>
      <c r="AP756" t="inlineStr">
        <is>
          <t>No</t>
        </is>
      </c>
      <c r="AQ756" t="inlineStr">
        <is>
          <t>No</t>
        </is>
      </c>
      <c r="AS756">
        <f>HYPERLINK("https://creighton-primo.hosted.exlibrisgroup.com/primo-explore/search?tab=default_tab&amp;search_scope=EVERYTHING&amp;vid=01CRU&amp;lang=en_US&amp;offset=0&amp;query=any,contains,991005097129702656","Catalog Record")</f>
        <v/>
      </c>
      <c r="AT756">
        <f>HYPERLINK("http://www.worldcat.org/oclc/71266449","WorldCat Record")</f>
        <v/>
      </c>
      <c r="AU756" t="inlineStr">
        <is>
          <t>1220014377:eng</t>
        </is>
      </c>
      <c r="AV756" t="inlineStr">
        <is>
          <t>71266449</t>
        </is>
      </c>
      <c r="AW756" t="inlineStr">
        <is>
          <t>991005097129702656</t>
        </is>
      </c>
      <c r="AX756" t="inlineStr">
        <is>
          <t>991005097129702656</t>
        </is>
      </c>
      <c r="AY756" t="inlineStr">
        <is>
          <t>2270251740002656</t>
        </is>
      </c>
      <c r="AZ756" t="inlineStr">
        <is>
          <t>BOOK</t>
        </is>
      </c>
      <c r="BB756" t="inlineStr">
        <is>
          <t>9781600214356</t>
        </is>
      </c>
      <c r="BC756" t="inlineStr">
        <is>
          <t>32285005319420</t>
        </is>
      </c>
      <c r="BD756" t="inlineStr">
        <is>
          <t>893628537</t>
        </is>
      </c>
    </row>
    <row r="757">
      <c r="A757" t="inlineStr">
        <is>
          <t>No</t>
        </is>
      </c>
      <c r="B757" t="inlineStr">
        <is>
          <t>QD281.P6 N48 1992</t>
        </is>
      </c>
      <c r="C757" t="inlineStr">
        <is>
          <t>0                      QD 0281000P  6                  N  48          1992</t>
        </is>
      </c>
      <c r="D757" t="inlineStr">
        <is>
          <t>New methods for polymer synthesis / edited by W.J. Mijs.</t>
        </is>
      </c>
      <c r="F757" t="inlineStr">
        <is>
          <t>No</t>
        </is>
      </c>
      <c r="G757" t="inlineStr">
        <is>
          <t>1</t>
        </is>
      </c>
      <c r="H757" t="inlineStr">
        <is>
          <t>No</t>
        </is>
      </c>
      <c r="I757" t="inlineStr">
        <is>
          <t>No</t>
        </is>
      </c>
      <c r="J757" t="inlineStr">
        <is>
          <t>0</t>
        </is>
      </c>
      <c r="L757" t="inlineStr">
        <is>
          <t>New York : Plenum Press, c1992.</t>
        </is>
      </c>
      <c r="M757" t="inlineStr">
        <is>
          <t>1992</t>
        </is>
      </c>
      <c r="O757" t="inlineStr">
        <is>
          <t>eng</t>
        </is>
      </c>
      <c r="P757" t="inlineStr">
        <is>
          <t>nyu</t>
        </is>
      </c>
      <c r="R757" t="inlineStr">
        <is>
          <t xml:space="preserve">QD </t>
        </is>
      </c>
      <c r="S757" t="n">
        <v>2</v>
      </c>
      <c r="T757" t="n">
        <v>2</v>
      </c>
      <c r="U757" t="inlineStr">
        <is>
          <t>2007-09-18</t>
        </is>
      </c>
      <c r="V757" t="inlineStr">
        <is>
          <t>2007-09-18</t>
        </is>
      </c>
      <c r="W757" t="inlineStr">
        <is>
          <t>1992-10-08</t>
        </is>
      </c>
      <c r="X757" t="inlineStr">
        <is>
          <t>1992-10-08</t>
        </is>
      </c>
      <c r="Y757" t="n">
        <v>209</v>
      </c>
      <c r="Z757" t="n">
        <v>155</v>
      </c>
      <c r="AA757" t="n">
        <v>170</v>
      </c>
      <c r="AB757" t="n">
        <v>2</v>
      </c>
      <c r="AC757" t="n">
        <v>2</v>
      </c>
      <c r="AD757" t="n">
        <v>5</v>
      </c>
      <c r="AE757" t="n">
        <v>5</v>
      </c>
      <c r="AF757" t="n">
        <v>1</v>
      </c>
      <c r="AG757" t="n">
        <v>1</v>
      </c>
      <c r="AH757" t="n">
        <v>2</v>
      </c>
      <c r="AI757" t="n">
        <v>2</v>
      </c>
      <c r="AJ757" t="n">
        <v>3</v>
      </c>
      <c r="AK757" t="n">
        <v>3</v>
      </c>
      <c r="AL757" t="n">
        <v>1</v>
      </c>
      <c r="AM757" t="n">
        <v>1</v>
      </c>
      <c r="AN757" t="n">
        <v>0</v>
      </c>
      <c r="AO757" t="n">
        <v>0</v>
      </c>
      <c r="AP757" t="inlineStr">
        <is>
          <t>No</t>
        </is>
      </c>
      <c r="AQ757" t="inlineStr">
        <is>
          <t>Yes</t>
        </is>
      </c>
      <c r="AR757">
        <f>HYPERLINK("http://catalog.hathitrust.org/Record/006246420","HathiTrust Record")</f>
        <v/>
      </c>
      <c r="AS757">
        <f>HYPERLINK("https://creighton-primo.hosted.exlibrisgroup.com/primo-explore/search?tab=default_tab&amp;search_scope=EVERYTHING&amp;vid=01CRU&amp;lang=en_US&amp;offset=0&amp;query=any,contains,991001967559702656","Catalog Record")</f>
        <v/>
      </c>
      <c r="AT757">
        <f>HYPERLINK("http://www.worldcat.org/oclc/24952610","WorldCat Record")</f>
        <v/>
      </c>
      <c r="AU757" t="inlineStr">
        <is>
          <t>24134436:eng</t>
        </is>
      </c>
      <c r="AV757" t="inlineStr">
        <is>
          <t>24952610</t>
        </is>
      </c>
      <c r="AW757" t="inlineStr">
        <is>
          <t>991001967559702656</t>
        </is>
      </c>
      <c r="AX757" t="inlineStr">
        <is>
          <t>991001967559702656</t>
        </is>
      </c>
      <c r="AY757" t="inlineStr">
        <is>
          <t>2267071570002656</t>
        </is>
      </c>
      <c r="AZ757" t="inlineStr">
        <is>
          <t>BOOK</t>
        </is>
      </c>
      <c r="BB757" t="inlineStr">
        <is>
          <t>9780306438714</t>
        </is>
      </c>
      <c r="BC757" t="inlineStr">
        <is>
          <t>32285001316818</t>
        </is>
      </c>
      <c r="BD757" t="inlineStr">
        <is>
          <t>893703508</t>
        </is>
      </c>
    </row>
    <row r="758">
      <c r="A758" t="inlineStr">
        <is>
          <t>No</t>
        </is>
      </c>
      <c r="B758" t="inlineStr">
        <is>
          <t>QD281.P6 O3 1991</t>
        </is>
      </c>
      <c r="C758" t="inlineStr">
        <is>
          <t>0                      QD 0281000P  6                  O  3           1991</t>
        </is>
      </c>
      <c r="D758" t="inlineStr">
        <is>
          <t>Principles of polymerization / George Odian.</t>
        </is>
      </c>
      <c r="F758" t="inlineStr">
        <is>
          <t>No</t>
        </is>
      </c>
      <c r="G758" t="inlineStr">
        <is>
          <t>1</t>
        </is>
      </c>
      <c r="H758" t="inlineStr">
        <is>
          <t>No</t>
        </is>
      </c>
      <c r="I758" t="inlineStr">
        <is>
          <t>No</t>
        </is>
      </c>
      <c r="J758" t="inlineStr">
        <is>
          <t>0</t>
        </is>
      </c>
      <c r="K758" t="inlineStr">
        <is>
          <t>Odian, George G., 1933-</t>
        </is>
      </c>
      <c r="L758" t="inlineStr">
        <is>
          <t>New York : Wiley, c1991.</t>
        </is>
      </c>
      <c r="M758" t="inlineStr">
        <is>
          <t>1991</t>
        </is>
      </c>
      <c r="N758" t="inlineStr">
        <is>
          <t>3rd ed.</t>
        </is>
      </c>
      <c r="O758" t="inlineStr">
        <is>
          <t>eng</t>
        </is>
      </c>
      <c r="P758" t="inlineStr">
        <is>
          <t>nyu</t>
        </is>
      </c>
      <c r="R758" t="inlineStr">
        <is>
          <t xml:space="preserve">QD </t>
        </is>
      </c>
      <c r="S758" t="n">
        <v>4</v>
      </c>
      <c r="T758" t="n">
        <v>4</v>
      </c>
      <c r="U758" t="inlineStr">
        <is>
          <t>2006-07-09</t>
        </is>
      </c>
      <c r="V758" t="inlineStr">
        <is>
          <t>2006-07-09</t>
        </is>
      </c>
      <c r="W758" t="inlineStr">
        <is>
          <t>1992-06-02</t>
        </is>
      </c>
      <c r="X758" t="inlineStr">
        <is>
          <t>1992-06-02</t>
        </is>
      </c>
      <c r="Y758" t="n">
        <v>435</v>
      </c>
      <c r="Z758" t="n">
        <v>307</v>
      </c>
      <c r="AA758" t="n">
        <v>1200</v>
      </c>
      <c r="AB758" t="n">
        <v>2</v>
      </c>
      <c r="AC758" t="n">
        <v>32</v>
      </c>
      <c r="AD758" t="n">
        <v>10</v>
      </c>
      <c r="AE758" t="n">
        <v>47</v>
      </c>
      <c r="AF758" t="n">
        <v>3</v>
      </c>
      <c r="AG758" t="n">
        <v>16</v>
      </c>
      <c r="AH758" t="n">
        <v>3</v>
      </c>
      <c r="AI758" t="n">
        <v>8</v>
      </c>
      <c r="AJ758" t="n">
        <v>6</v>
      </c>
      <c r="AK758" t="n">
        <v>20</v>
      </c>
      <c r="AL758" t="n">
        <v>1</v>
      </c>
      <c r="AM758" t="n">
        <v>13</v>
      </c>
      <c r="AN758" t="n">
        <v>0</v>
      </c>
      <c r="AO758" t="n">
        <v>0</v>
      </c>
      <c r="AP758" t="inlineStr">
        <is>
          <t>No</t>
        </is>
      </c>
      <c r="AQ758" t="inlineStr">
        <is>
          <t>Yes</t>
        </is>
      </c>
      <c r="AR758">
        <f>HYPERLINK("http://catalog.hathitrust.org/Record/004514942","HathiTrust Record")</f>
        <v/>
      </c>
      <c r="AS758">
        <f>HYPERLINK("https://creighton-primo.hosted.exlibrisgroup.com/primo-explore/search?tab=default_tab&amp;search_scope=EVERYTHING&amp;vid=01CRU&amp;lang=en_US&amp;offset=0&amp;query=any,contains,991001816049702656","Catalog Record")</f>
        <v/>
      </c>
      <c r="AT758">
        <f>HYPERLINK("http://www.worldcat.org/oclc/22811822","WorldCat Record")</f>
        <v/>
      </c>
      <c r="AU758" t="inlineStr">
        <is>
          <t>298545:eng</t>
        </is>
      </c>
      <c r="AV758" t="inlineStr">
        <is>
          <t>22811822</t>
        </is>
      </c>
      <c r="AW758" t="inlineStr">
        <is>
          <t>991001816049702656</t>
        </is>
      </c>
      <c r="AX758" t="inlineStr">
        <is>
          <t>991001816049702656</t>
        </is>
      </c>
      <c r="AY758" t="inlineStr">
        <is>
          <t>2266246500002656</t>
        </is>
      </c>
      <c r="AZ758" t="inlineStr">
        <is>
          <t>BOOK</t>
        </is>
      </c>
      <c r="BB758" t="inlineStr">
        <is>
          <t>9780471610205</t>
        </is>
      </c>
      <c r="BC758" t="inlineStr">
        <is>
          <t>32285001125748</t>
        </is>
      </c>
      <c r="BD758" t="inlineStr">
        <is>
          <t>893322285</t>
        </is>
      </c>
    </row>
    <row r="759">
      <c r="A759" t="inlineStr">
        <is>
          <t>No</t>
        </is>
      </c>
      <c r="B759" t="inlineStr">
        <is>
          <t>QD281.P6 R393 2007</t>
        </is>
      </c>
      <c r="C759" t="inlineStr">
        <is>
          <t>0                      QD 0281000P  6                  R  393         2007</t>
        </is>
      </c>
      <c r="D759" t="inlineStr">
        <is>
          <t>Reactions and properties of monomers and polymers / Alberto D'Amore, Gennady Zaikov, editors.</t>
        </is>
      </c>
      <c r="F759" t="inlineStr">
        <is>
          <t>No</t>
        </is>
      </c>
      <c r="G759" t="inlineStr">
        <is>
          <t>1</t>
        </is>
      </c>
      <c r="H759" t="inlineStr">
        <is>
          <t>No</t>
        </is>
      </c>
      <c r="I759" t="inlineStr">
        <is>
          <t>No</t>
        </is>
      </c>
      <c r="J759" t="inlineStr">
        <is>
          <t>0</t>
        </is>
      </c>
      <c r="L759" t="inlineStr">
        <is>
          <t>New York : Nova Science Publishers, c2007.</t>
        </is>
      </c>
      <c r="M759" t="inlineStr">
        <is>
          <t>2007</t>
        </is>
      </c>
      <c r="O759" t="inlineStr">
        <is>
          <t>eng</t>
        </is>
      </c>
      <c r="P759" t="inlineStr">
        <is>
          <t>nyu</t>
        </is>
      </c>
      <c r="R759" t="inlineStr">
        <is>
          <t xml:space="preserve">QD </t>
        </is>
      </c>
      <c r="S759" t="n">
        <v>1</v>
      </c>
      <c r="T759" t="n">
        <v>1</v>
      </c>
      <c r="U759" t="inlineStr">
        <is>
          <t>2007-08-02</t>
        </is>
      </c>
      <c r="V759" t="inlineStr">
        <is>
          <t>2007-08-02</t>
        </is>
      </c>
      <c r="W759" t="inlineStr">
        <is>
          <t>2007-08-02</t>
        </is>
      </c>
      <c r="X759" t="inlineStr">
        <is>
          <t>2007-08-02</t>
        </is>
      </c>
      <c r="Y759" t="n">
        <v>51</v>
      </c>
      <c r="Z759" t="n">
        <v>37</v>
      </c>
      <c r="AA759" t="n">
        <v>37</v>
      </c>
      <c r="AB759" t="n">
        <v>1</v>
      </c>
      <c r="AC759" t="n">
        <v>1</v>
      </c>
      <c r="AD759" t="n">
        <v>0</v>
      </c>
      <c r="AE759" t="n">
        <v>0</v>
      </c>
      <c r="AF759" t="n">
        <v>0</v>
      </c>
      <c r="AG759" t="n">
        <v>0</v>
      </c>
      <c r="AH759" t="n">
        <v>0</v>
      </c>
      <c r="AI759" t="n">
        <v>0</v>
      </c>
      <c r="AJ759" t="n">
        <v>0</v>
      </c>
      <c r="AK759" t="n">
        <v>0</v>
      </c>
      <c r="AL759" t="n">
        <v>0</v>
      </c>
      <c r="AM759" t="n">
        <v>0</v>
      </c>
      <c r="AN759" t="n">
        <v>0</v>
      </c>
      <c r="AO759" t="n">
        <v>0</v>
      </c>
      <c r="AP759" t="inlineStr">
        <is>
          <t>No</t>
        </is>
      </c>
      <c r="AQ759" t="inlineStr">
        <is>
          <t>No</t>
        </is>
      </c>
      <c r="AS759">
        <f>HYPERLINK("https://creighton-primo.hosted.exlibrisgroup.com/primo-explore/search?tab=default_tab&amp;search_scope=EVERYTHING&amp;vid=01CRU&amp;lang=en_US&amp;offset=0&amp;query=any,contains,991005097459702656","Catalog Record")</f>
        <v/>
      </c>
      <c r="AT759">
        <f>HYPERLINK("http://www.worldcat.org/oclc/70877944","WorldCat Record")</f>
        <v/>
      </c>
      <c r="AU759" t="inlineStr">
        <is>
          <t>10567463890:eng</t>
        </is>
      </c>
      <c r="AV759" t="inlineStr">
        <is>
          <t>70877944</t>
        </is>
      </c>
      <c r="AW759" t="inlineStr">
        <is>
          <t>991005097459702656</t>
        </is>
      </c>
      <c r="AX759" t="inlineStr">
        <is>
          <t>991005097459702656</t>
        </is>
      </c>
      <c r="AY759" t="inlineStr">
        <is>
          <t>2266257300002656</t>
        </is>
      </c>
      <c r="AZ759" t="inlineStr">
        <is>
          <t>BOOK</t>
        </is>
      </c>
      <c r="BB759" t="inlineStr">
        <is>
          <t>9781600214158</t>
        </is>
      </c>
      <c r="BC759" t="inlineStr">
        <is>
          <t>32285005322465</t>
        </is>
      </c>
      <c r="BD759" t="inlineStr">
        <is>
          <t>893418365</t>
        </is>
      </c>
    </row>
    <row r="760">
      <c r="A760" t="inlineStr">
        <is>
          <t>No</t>
        </is>
      </c>
      <c r="B760" t="inlineStr">
        <is>
          <t>QD281.P6 S58 2001</t>
        </is>
      </c>
      <c r="C760" t="inlineStr">
        <is>
          <t>0                      QD 0281000P  6                  S  58          2001</t>
        </is>
      </c>
      <c r="D760" t="inlineStr">
        <is>
          <t>Preparative methods of polymer chemistry.</t>
        </is>
      </c>
      <c r="F760" t="inlineStr">
        <is>
          <t>No</t>
        </is>
      </c>
      <c r="G760" t="inlineStr">
        <is>
          <t>1</t>
        </is>
      </c>
      <c r="H760" t="inlineStr">
        <is>
          <t>No</t>
        </is>
      </c>
      <c r="I760" t="inlineStr">
        <is>
          <t>No</t>
        </is>
      </c>
      <c r="J760" t="inlineStr">
        <is>
          <t>0</t>
        </is>
      </c>
      <c r="K760" t="inlineStr">
        <is>
          <t>Sorenson, Wayne R. (Wayne Richard), 1926-</t>
        </is>
      </c>
      <c r="L760" t="inlineStr">
        <is>
          <t>New York : Wiley-Interscience, c2001.</t>
        </is>
      </c>
      <c r="M760" t="inlineStr">
        <is>
          <t>2001</t>
        </is>
      </c>
      <c r="N760" t="inlineStr">
        <is>
          <t>3rd ed. / Wayne R. Sorenson, Wilfred Sweeny, Tod W. Campbell.</t>
        </is>
      </c>
      <c r="O760" t="inlineStr">
        <is>
          <t>eng</t>
        </is>
      </c>
      <c r="P760" t="inlineStr">
        <is>
          <t>nyu</t>
        </is>
      </c>
      <c r="R760" t="inlineStr">
        <is>
          <t xml:space="preserve">QD </t>
        </is>
      </c>
      <c r="S760" t="n">
        <v>1</v>
      </c>
      <c r="T760" t="n">
        <v>1</v>
      </c>
      <c r="U760" t="inlineStr">
        <is>
          <t>2002-04-17</t>
        </is>
      </c>
      <c r="V760" t="inlineStr">
        <is>
          <t>2002-04-17</t>
        </is>
      </c>
      <c r="W760" t="inlineStr">
        <is>
          <t>2002-04-02</t>
        </is>
      </c>
      <c r="X760" t="inlineStr">
        <is>
          <t>2002-04-02</t>
        </is>
      </c>
      <c r="Y760" t="n">
        <v>291</v>
      </c>
      <c r="Z760" t="n">
        <v>204</v>
      </c>
      <c r="AA760" t="n">
        <v>529</v>
      </c>
      <c r="AB760" t="n">
        <v>1</v>
      </c>
      <c r="AC760" t="n">
        <v>4</v>
      </c>
      <c r="AD760" t="n">
        <v>10</v>
      </c>
      <c r="AE760" t="n">
        <v>22</v>
      </c>
      <c r="AF760" t="n">
        <v>2</v>
      </c>
      <c r="AG760" t="n">
        <v>5</v>
      </c>
      <c r="AH760" t="n">
        <v>5</v>
      </c>
      <c r="AI760" t="n">
        <v>9</v>
      </c>
      <c r="AJ760" t="n">
        <v>5</v>
      </c>
      <c r="AK760" t="n">
        <v>9</v>
      </c>
      <c r="AL760" t="n">
        <v>0</v>
      </c>
      <c r="AM760" t="n">
        <v>3</v>
      </c>
      <c r="AN760" t="n">
        <v>0</v>
      </c>
      <c r="AO760" t="n">
        <v>0</v>
      </c>
      <c r="AP760" t="inlineStr">
        <is>
          <t>No</t>
        </is>
      </c>
      <c r="AQ760" t="inlineStr">
        <is>
          <t>No</t>
        </is>
      </c>
      <c r="AS760">
        <f>HYPERLINK("https://creighton-primo.hosted.exlibrisgroup.com/primo-explore/search?tab=default_tab&amp;search_scope=EVERYTHING&amp;vid=01CRU&amp;lang=en_US&amp;offset=0&amp;query=any,contains,991003782669702656","Catalog Record")</f>
        <v/>
      </c>
      <c r="AT760">
        <f>HYPERLINK("http://www.worldcat.org/oclc/45052684","WorldCat Record")</f>
        <v/>
      </c>
      <c r="AU760" t="inlineStr">
        <is>
          <t>1344079:eng</t>
        </is>
      </c>
      <c r="AV760" t="inlineStr">
        <is>
          <t>45052684</t>
        </is>
      </c>
      <c r="AW760" t="inlineStr">
        <is>
          <t>991003782669702656</t>
        </is>
      </c>
      <c r="AX760" t="inlineStr">
        <is>
          <t>991003782669702656</t>
        </is>
      </c>
      <c r="AY760" t="inlineStr">
        <is>
          <t>2270094810002656</t>
        </is>
      </c>
      <c r="AZ760" t="inlineStr">
        <is>
          <t>BOOK</t>
        </is>
      </c>
      <c r="BB760" t="inlineStr">
        <is>
          <t>9780471589921</t>
        </is>
      </c>
      <c r="BC760" t="inlineStr">
        <is>
          <t>32285004476320</t>
        </is>
      </c>
      <c r="BD760" t="inlineStr">
        <is>
          <t>893252788</t>
        </is>
      </c>
    </row>
    <row r="761">
      <c r="A761" t="inlineStr">
        <is>
          <t>No</t>
        </is>
      </c>
      <c r="B761" t="inlineStr">
        <is>
          <t>QD281.R4 H83 1996</t>
        </is>
      </c>
      <c r="C761" t="inlineStr">
        <is>
          <t>0                      QD 0281000R  4                  H  83          1996</t>
        </is>
      </c>
      <c r="D761" t="inlineStr">
        <is>
          <t>Reductions in organic chemistry / Miloš Hudlický.</t>
        </is>
      </c>
      <c r="F761" t="inlineStr">
        <is>
          <t>No</t>
        </is>
      </c>
      <c r="G761" t="inlineStr">
        <is>
          <t>1</t>
        </is>
      </c>
      <c r="H761" t="inlineStr">
        <is>
          <t>No</t>
        </is>
      </c>
      <c r="I761" t="inlineStr">
        <is>
          <t>No</t>
        </is>
      </c>
      <c r="J761" t="inlineStr">
        <is>
          <t>0</t>
        </is>
      </c>
      <c r="K761" t="inlineStr">
        <is>
          <t>Hudlicky, Milos, 1919-</t>
        </is>
      </c>
      <c r="L761" t="inlineStr">
        <is>
          <t>Washington, DC : American Chemical Society, [1996]</t>
        </is>
      </c>
      <c r="M761" t="inlineStr">
        <is>
          <t>1996</t>
        </is>
      </c>
      <c r="N761" t="inlineStr">
        <is>
          <t>2nd ed.</t>
        </is>
      </c>
      <c r="O761" t="inlineStr">
        <is>
          <t>eng</t>
        </is>
      </c>
      <c r="P761" t="inlineStr">
        <is>
          <t>dcu</t>
        </is>
      </c>
      <c r="Q761" t="inlineStr">
        <is>
          <t>ACS monograph ; 188</t>
        </is>
      </c>
      <c r="R761" t="inlineStr">
        <is>
          <t xml:space="preserve">QD </t>
        </is>
      </c>
      <c r="S761" t="n">
        <v>9</v>
      </c>
      <c r="T761" t="n">
        <v>9</v>
      </c>
      <c r="U761" t="inlineStr">
        <is>
          <t>2003-03-07</t>
        </is>
      </c>
      <c r="V761" t="inlineStr">
        <is>
          <t>2003-03-07</t>
        </is>
      </c>
      <c r="W761" t="inlineStr">
        <is>
          <t>1997-02-26</t>
        </is>
      </c>
      <c r="X761" t="inlineStr">
        <is>
          <t>1997-02-26</t>
        </is>
      </c>
      <c r="Y761" t="n">
        <v>345</v>
      </c>
      <c r="Z761" t="n">
        <v>280</v>
      </c>
      <c r="AA761" t="n">
        <v>286</v>
      </c>
      <c r="AB761" t="n">
        <v>3</v>
      </c>
      <c r="AC761" t="n">
        <v>3</v>
      </c>
      <c r="AD761" t="n">
        <v>20</v>
      </c>
      <c r="AE761" t="n">
        <v>20</v>
      </c>
      <c r="AF761" t="n">
        <v>6</v>
      </c>
      <c r="AG761" t="n">
        <v>6</v>
      </c>
      <c r="AH761" t="n">
        <v>5</v>
      </c>
      <c r="AI761" t="n">
        <v>5</v>
      </c>
      <c r="AJ761" t="n">
        <v>12</v>
      </c>
      <c r="AK761" t="n">
        <v>12</v>
      </c>
      <c r="AL761" t="n">
        <v>2</v>
      </c>
      <c r="AM761" t="n">
        <v>2</v>
      </c>
      <c r="AN761" t="n">
        <v>0</v>
      </c>
      <c r="AO761" t="n">
        <v>0</v>
      </c>
      <c r="AP761" t="inlineStr">
        <is>
          <t>No</t>
        </is>
      </c>
      <c r="AQ761" t="inlineStr">
        <is>
          <t>Yes</t>
        </is>
      </c>
      <c r="AR761">
        <f>HYPERLINK("http://catalog.hathitrust.org/Record/003108513","HathiTrust Record")</f>
        <v/>
      </c>
      <c r="AS761">
        <f>HYPERLINK("https://creighton-primo.hosted.exlibrisgroup.com/primo-explore/search?tab=default_tab&amp;search_scope=EVERYTHING&amp;vid=01CRU&amp;lang=en_US&amp;offset=0&amp;query=any,contains,991002669569702656","Catalog Record")</f>
        <v/>
      </c>
      <c r="AT761">
        <f>HYPERLINK("http://www.worldcat.org/oclc/34912844","WorldCat Record")</f>
        <v/>
      </c>
      <c r="AU761" t="inlineStr">
        <is>
          <t>5090827731:eng</t>
        </is>
      </c>
      <c r="AV761" t="inlineStr">
        <is>
          <t>34912844</t>
        </is>
      </c>
      <c r="AW761" t="inlineStr">
        <is>
          <t>991002669569702656</t>
        </is>
      </c>
      <c r="AX761" t="inlineStr">
        <is>
          <t>991002669569702656</t>
        </is>
      </c>
      <c r="AY761" t="inlineStr">
        <is>
          <t>2258770010002656</t>
        </is>
      </c>
      <c r="AZ761" t="inlineStr">
        <is>
          <t>BOOK</t>
        </is>
      </c>
      <c r="BB761" t="inlineStr">
        <is>
          <t>9780841233447</t>
        </is>
      </c>
      <c r="BC761" t="inlineStr">
        <is>
          <t>32285002433711</t>
        </is>
      </c>
      <c r="BD761" t="inlineStr">
        <is>
          <t>893523901</t>
        </is>
      </c>
    </row>
    <row r="762">
      <c r="A762" t="inlineStr">
        <is>
          <t>No</t>
        </is>
      </c>
      <c r="B762" t="inlineStr">
        <is>
          <t>QD281.R5 C93 2001</t>
        </is>
      </c>
      <c r="C762" t="inlineStr">
        <is>
          <t>0                      QD 0281000R  5                  C  93          2001</t>
        </is>
      </c>
      <c r="D762" t="inlineStr">
        <is>
          <t>Cycloaddition reactions in organic synthesis / edited by Sh*u Kobayashi and Karl Anker Jørgensen.</t>
        </is>
      </c>
      <c r="F762" t="inlineStr">
        <is>
          <t>No</t>
        </is>
      </c>
      <c r="G762" t="inlineStr">
        <is>
          <t>1</t>
        </is>
      </c>
      <c r="H762" t="inlineStr">
        <is>
          <t>No</t>
        </is>
      </c>
      <c r="I762" t="inlineStr">
        <is>
          <t>No</t>
        </is>
      </c>
      <c r="J762" t="inlineStr">
        <is>
          <t>0</t>
        </is>
      </c>
      <c r="L762" t="inlineStr">
        <is>
          <t>Weinheim : Wiley-VCH, 2001.</t>
        </is>
      </c>
      <c r="M762" t="inlineStr">
        <is>
          <t>2001</t>
        </is>
      </c>
      <c r="O762" t="inlineStr">
        <is>
          <t>eng</t>
        </is>
      </c>
      <c r="P762" t="inlineStr">
        <is>
          <t xml:space="preserve">gw </t>
        </is>
      </c>
      <c r="R762" t="inlineStr">
        <is>
          <t xml:space="preserve">QD </t>
        </is>
      </c>
      <c r="S762" t="n">
        <v>2</v>
      </c>
      <c r="T762" t="n">
        <v>2</v>
      </c>
      <c r="U762" t="inlineStr">
        <is>
          <t>2005-02-27</t>
        </is>
      </c>
      <c r="V762" t="inlineStr">
        <is>
          <t>2005-02-27</t>
        </is>
      </c>
      <c r="W762" t="inlineStr">
        <is>
          <t>2002-03-26</t>
        </is>
      </c>
      <c r="X762" t="inlineStr">
        <is>
          <t>2002-03-26</t>
        </is>
      </c>
      <c r="Y762" t="n">
        <v>268</v>
      </c>
      <c r="Z762" t="n">
        <v>186</v>
      </c>
      <c r="AA762" t="n">
        <v>233</v>
      </c>
      <c r="AB762" t="n">
        <v>2</v>
      </c>
      <c r="AC762" t="n">
        <v>2</v>
      </c>
      <c r="AD762" t="n">
        <v>14</v>
      </c>
      <c r="AE762" t="n">
        <v>14</v>
      </c>
      <c r="AF762" t="n">
        <v>4</v>
      </c>
      <c r="AG762" t="n">
        <v>4</v>
      </c>
      <c r="AH762" t="n">
        <v>4</v>
      </c>
      <c r="AI762" t="n">
        <v>4</v>
      </c>
      <c r="AJ762" t="n">
        <v>8</v>
      </c>
      <c r="AK762" t="n">
        <v>8</v>
      </c>
      <c r="AL762" t="n">
        <v>1</v>
      </c>
      <c r="AM762" t="n">
        <v>1</v>
      </c>
      <c r="AN762" t="n">
        <v>0</v>
      </c>
      <c r="AO762" t="n">
        <v>0</v>
      </c>
      <c r="AP762" t="inlineStr">
        <is>
          <t>No</t>
        </is>
      </c>
      <c r="AQ762" t="inlineStr">
        <is>
          <t>No</t>
        </is>
      </c>
      <c r="AS762">
        <f>HYPERLINK("https://creighton-primo.hosted.exlibrisgroup.com/primo-explore/search?tab=default_tab&amp;search_scope=EVERYTHING&amp;vid=01CRU&amp;lang=en_US&amp;offset=0&amp;query=any,contains,991003747039702656","Catalog Record")</f>
        <v/>
      </c>
      <c r="AT762">
        <f>HYPERLINK("http://www.worldcat.org/oclc/49611199","WorldCat Record")</f>
        <v/>
      </c>
      <c r="AU762" t="inlineStr">
        <is>
          <t>350883154:eng</t>
        </is>
      </c>
      <c r="AV762" t="inlineStr">
        <is>
          <t>49611199</t>
        </is>
      </c>
      <c r="AW762" t="inlineStr">
        <is>
          <t>991003747039702656</t>
        </is>
      </c>
      <c r="AX762" t="inlineStr">
        <is>
          <t>991003747039702656</t>
        </is>
      </c>
      <c r="AY762" t="inlineStr">
        <is>
          <t>2259508330002656</t>
        </is>
      </c>
      <c r="AZ762" t="inlineStr">
        <is>
          <t>BOOK</t>
        </is>
      </c>
      <c r="BB762" t="inlineStr">
        <is>
          <t>9783527301591</t>
        </is>
      </c>
      <c r="BC762" t="inlineStr">
        <is>
          <t>32285004464284</t>
        </is>
      </c>
      <c r="BD762" t="inlineStr">
        <is>
          <t>893806161</t>
        </is>
      </c>
    </row>
    <row r="763">
      <c r="A763" t="inlineStr">
        <is>
          <t>No</t>
        </is>
      </c>
      <c r="B763" t="inlineStr">
        <is>
          <t>QD281.R5 S36 2005</t>
        </is>
      </c>
      <c r="C763" t="inlineStr">
        <is>
          <t>0                      QD 0281000R  5                  S  36          2005</t>
        </is>
      </c>
      <c r="D763" t="inlineStr">
        <is>
          <t>Pericyclic reactions : a textbook : reactions, applications and theory / S. Sankararaman.</t>
        </is>
      </c>
      <c r="F763" t="inlineStr">
        <is>
          <t>No</t>
        </is>
      </c>
      <c r="G763" t="inlineStr">
        <is>
          <t>1</t>
        </is>
      </c>
      <c r="H763" t="inlineStr">
        <is>
          <t>No</t>
        </is>
      </c>
      <c r="I763" t="inlineStr">
        <is>
          <t>No</t>
        </is>
      </c>
      <c r="J763" t="inlineStr">
        <is>
          <t>0</t>
        </is>
      </c>
      <c r="K763" t="inlineStr">
        <is>
          <t>Sankararaman, S. (Sethuraman), 1957-</t>
        </is>
      </c>
      <c r="L763" t="inlineStr">
        <is>
          <t>Weinheim : Wiley-VCH, c2005.</t>
        </is>
      </c>
      <c r="M763" t="inlineStr">
        <is>
          <t>2005</t>
        </is>
      </c>
      <c r="O763" t="inlineStr">
        <is>
          <t>eng</t>
        </is>
      </c>
      <c r="P763" t="inlineStr">
        <is>
          <t xml:space="preserve">gw </t>
        </is>
      </c>
      <c r="R763" t="inlineStr">
        <is>
          <t xml:space="preserve">QD </t>
        </is>
      </c>
      <c r="S763" t="n">
        <v>1</v>
      </c>
      <c r="T763" t="n">
        <v>1</v>
      </c>
      <c r="U763" t="inlineStr">
        <is>
          <t>2006-03-16</t>
        </is>
      </c>
      <c r="V763" t="inlineStr">
        <is>
          <t>2006-03-16</t>
        </is>
      </c>
      <c r="W763" t="inlineStr">
        <is>
          <t>2006-02-27</t>
        </is>
      </c>
      <c r="X763" t="inlineStr">
        <is>
          <t>2006-02-27</t>
        </is>
      </c>
      <c r="Y763" t="n">
        <v>186</v>
      </c>
      <c r="Z763" t="n">
        <v>105</v>
      </c>
      <c r="AA763" t="n">
        <v>106</v>
      </c>
      <c r="AB763" t="n">
        <v>2</v>
      </c>
      <c r="AC763" t="n">
        <v>2</v>
      </c>
      <c r="AD763" t="n">
        <v>5</v>
      </c>
      <c r="AE763" t="n">
        <v>5</v>
      </c>
      <c r="AF763" t="n">
        <v>0</v>
      </c>
      <c r="AG763" t="n">
        <v>0</v>
      </c>
      <c r="AH763" t="n">
        <v>2</v>
      </c>
      <c r="AI763" t="n">
        <v>2</v>
      </c>
      <c r="AJ763" t="n">
        <v>4</v>
      </c>
      <c r="AK763" t="n">
        <v>4</v>
      </c>
      <c r="AL763" t="n">
        <v>1</v>
      </c>
      <c r="AM763" t="n">
        <v>1</v>
      </c>
      <c r="AN763" t="n">
        <v>0</v>
      </c>
      <c r="AO763" t="n">
        <v>0</v>
      </c>
      <c r="AP763" t="inlineStr">
        <is>
          <t>No</t>
        </is>
      </c>
      <c r="AQ763" t="inlineStr">
        <is>
          <t>Yes</t>
        </is>
      </c>
      <c r="AR763">
        <f>HYPERLINK("http://catalog.hathitrust.org/Record/009464220","HathiTrust Record")</f>
        <v/>
      </c>
      <c r="AS763">
        <f>HYPERLINK("https://creighton-primo.hosted.exlibrisgroup.com/primo-explore/search?tab=default_tab&amp;search_scope=EVERYTHING&amp;vid=01CRU&amp;lang=en_US&amp;offset=0&amp;query=any,contains,991004751279702656","Catalog Record")</f>
        <v/>
      </c>
      <c r="AT763">
        <f>HYPERLINK("http://www.worldcat.org/oclc/61439936","WorldCat Record")</f>
        <v/>
      </c>
      <c r="AU763" t="inlineStr">
        <is>
          <t>793859904:eng</t>
        </is>
      </c>
      <c r="AV763" t="inlineStr">
        <is>
          <t>61439936</t>
        </is>
      </c>
      <c r="AW763" t="inlineStr">
        <is>
          <t>991004751279702656</t>
        </is>
      </c>
      <c r="AX763" t="inlineStr">
        <is>
          <t>991004751279702656</t>
        </is>
      </c>
      <c r="AY763" t="inlineStr">
        <is>
          <t>2266501790002656</t>
        </is>
      </c>
      <c r="AZ763" t="inlineStr">
        <is>
          <t>BOOK</t>
        </is>
      </c>
      <c r="BB763" t="inlineStr">
        <is>
          <t>9783527314393</t>
        </is>
      </c>
      <c r="BC763" t="inlineStr">
        <is>
          <t>32285005166425</t>
        </is>
      </c>
      <c r="BD763" t="inlineStr">
        <is>
          <t>893789051</t>
        </is>
      </c>
    </row>
    <row r="764">
      <c r="A764" t="inlineStr">
        <is>
          <t>No</t>
        </is>
      </c>
      <c r="B764" t="inlineStr">
        <is>
          <t>QD281.S6 S7</t>
        </is>
      </c>
      <c r="C764" t="inlineStr">
        <is>
          <t>0                      QD 0281000S  6                  S  7</t>
        </is>
      </c>
      <c r="D764" t="inlineStr">
        <is>
          <t>Solvolytic displacement reactions.</t>
        </is>
      </c>
      <c r="F764" t="inlineStr">
        <is>
          <t>No</t>
        </is>
      </c>
      <c r="G764" t="inlineStr">
        <is>
          <t>1</t>
        </is>
      </c>
      <c r="H764" t="inlineStr">
        <is>
          <t>No</t>
        </is>
      </c>
      <c r="I764" t="inlineStr">
        <is>
          <t>No</t>
        </is>
      </c>
      <c r="J764" t="inlineStr">
        <is>
          <t>0</t>
        </is>
      </c>
      <c r="K764" t="inlineStr">
        <is>
          <t>Streitwieser, Andrew, 1927-</t>
        </is>
      </c>
      <c r="L764" t="inlineStr">
        <is>
          <t>New York, McGraw-Hill [1962]</t>
        </is>
      </c>
      <c r="M764" t="inlineStr">
        <is>
          <t>1962</t>
        </is>
      </c>
      <c r="O764" t="inlineStr">
        <is>
          <t>eng</t>
        </is>
      </c>
      <c r="P764" t="inlineStr">
        <is>
          <t>nyu</t>
        </is>
      </c>
      <c r="Q764" t="inlineStr">
        <is>
          <t>McGraw-Hill series in advanced chemistry</t>
        </is>
      </c>
      <c r="R764" t="inlineStr">
        <is>
          <t xml:space="preserve">QD </t>
        </is>
      </c>
      <c r="S764" t="n">
        <v>4</v>
      </c>
      <c r="T764" t="n">
        <v>4</v>
      </c>
      <c r="U764" t="inlineStr">
        <is>
          <t>1997-11-01</t>
        </is>
      </c>
      <c r="V764" t="inlineStr">
        <is>
          <t>1997-11-01</t>
        </is>
      </c>
      <c r="W764" t="inlineStr">
        <is>
          <t>1997-06-11</t>
        </is>
      </c>
      <c r="X764" t="inlineStr">
        <is>
          <t>1997-06-11</t>
        </is>
      </c>
      <c r="Y764" t="n">
        <v>515</v>
      </c>
      <c r="Z764" t="n">
        <v>420</v>
      </c>
      <c r="AA764" t="n">
        <v>436</v>
      </c>
      <c r="AB764" t="n">
        <v>3</v>
      </c>
      <c r="AC764" t="n">
        <v>3</v>
      </c>
      <c r="AD764" t="n">
        <v>25</v>
      </c>
      <c r="AE764" t="n">
        <v>25</v>
      </c>
      <c r="AF764" t="n">
        <v>7</v>
      </c>
      <c r="AG764" t="n">
        <v>7</v>
      </c>
      <c r="AH764" t="n">
        <v>6</v>
      </c>
      <c r="AI764" t="n">
        <v>6</v>
      </c>
      <c r="AJ764" t="n">
        <v>15</v>
      </c>
      <c r="AK764" t="n">
        <v>15</v>
      </c>
      <c r="AL764" t="n">
        <v>2</v>
      </c>
      <c r="AM764" t="n">
        <v>2</v>
      </c>
      <c r="AN764" t="n">
        <v>0</v>
      </c>
      <c r="AO764" t="n">
        <v>0</v>
      </c>
      <c r="AP764" t="inlineStr">
        <is>
          <t>No</t>
        </is>
      </c>
      <c r="AQ764" t="inlineStr">
        <is>
          <t>Yes</t>
        </is>
      </c>
      <c r="AR764">
        <f>HYPERLINK("http://catalog.hathitrust.org/Record/001033668","HathiTrust Record")</f>
        <v/>
      </c>
      <c r="AS764">
        <f>HYPERLINK("https://creighton-primo.hosted.exlibrisgroup.com/primo-explore/search?tab=default_tab&amp;search_scope=EVERYTHING&amp;vid=01CRU&amp;lang=en_US&amp;offset=0&amp;query=any,contains,991002958559702656","Catalog Record")</f>
        <v/>
      </c>
      <c r="AT764">
        <f>HYPERLINK("http://www.worldcat.org/oclc/543055","WorldCat Record")</f>
        <v/>
      </c>
      <c r="AU764" t="inlineStr">
        <is>
          <t>1572854:eng</t>
        </is>
      </c>
      <c r="AV764" t="inlineStr">
        <is>
          <t>543055</t>
        </is>
      </c>
      <c r="AW764" t="inlineStr">
        <is>
          <t>991002958559702656</t>
        </is>
      </c>
      <c r="AX764" t="inlineStr">
        <is>
          <t>991002958559702656</t>
        </is>
      </c>
      <c r="AY764" t="inlineStr">
        <is>
          <t>2265494420002656</t>
        </is>
      </c>
      <c r="AZ764" t="inlineStr">
        <is>
          <t>BOOK</t>
        </is>
      </c>
      <c r="BC764" t="inlineStr">
        <is>
          <t>32285002794575</t>
        </is>
      </c>
      <c r="BD764" t="inlineStr">
        <is>
          <t>893239729</t>
        </is>
      </c>
    </row>
    <row r="765">
      <c r="A765" t="inlineStr">
        <is>
          <t>No</t>
        </is>
      </c>
      <c r="B765" t="inlineStr">
        <is>
          <t>QD291 .F6 2001</t>
        </is>
      </c>
      <c r="C765" t="inlineStr">
        <is>
          <t>0                      QD 0291000F  6           2001</t>
        </is>
      </c>
      <c r="D765" t="inlineStr">
        <is>
          <t>Nomenclature of organic compounds : principles and practice.</t>
        </is>
      </c>
      <c r="F765" t="inlineStr">
        <is>
          <t>No</t>
        </is>
      </c>
      <c r="G765" t="inlineStr">
        <is>
          <t>1</t>
        </is>
      </c>
      <c r="H765" t="inlineStr">
        <is>
          <t>No</t>
        </is>
      </c>
      <c r="I765" t="inlineStr">
        <is>
          <t>No</t>
        </is>
      </c>
      <c r="J765" t="inlineStr">
        <is>
          <t>0</t>
        </is>
      </c>
      <c r="K765" t="inlineStr">
        <is>
          <t>Fox, Robert B., 1922-</t>
        </is>
      </c>
      <c r="L765" t="inlineStr">
        <is>
          <t>Oxford ; New York : Oxford University Press ; [Washington, DC] : American Chemical Society, 2001.</t>
        </is>
      </c>
      <c r="M765" t="inlineStr">
        <is>
          <t>2001</t>
        </is>
      </c>
      <c r="N765" t="inlineStr">
        <is>
          <t>2nd ed. / Robert B. Fox, Warren H. Powell.</t>
        </is>
      </c>
      <c r="O765" t="inlineStr">
        <is>
          <t>eng</t>
        </is>
      </c>
      <c r="P765" t="inlineStr">
        <is>
          <t>enk</t>
        </is>
      </c>
      <c r="R765" t="inlineStr">
        <is>
          <t xml:space="preserve">QD </t>
        </is>
      </c>
      <c r="S765" t="n">
        <v>6</v>
      </c>
      <c r="T765" t="n">
        <v>6</v>
      </c>
      <c r="U765" t="inlineStr">
        <is>
          <t>2008-07-06</t>
        </is>
      </c>
      <c r="V765" t="inlineStr">
        <is>
          <t>2008-07-06</t>
        </is>
      </c>
      <c r="W765" t="inlineStr">
        <is>
          <t>2001-09-12</t>
        </is>
      </c>
      <c r="X765" t="inlineStr">
        <is>
          <t>2001-09-12</t>
        </is>
      </c>
      <c r="Y765" t="n">
        <v>361</v>
      </c>
      <c r="Z765" t="n">
        <v>291</v>
      </c>
      <c r="AA765" t="n">
        <v>300</v>
      </c>
      <c r="AB765" t="n">
        <v>4</v>
      </c>
      <c r="AC765" t="n">
        <v>4</v>
      </c>
      <c r="AD765" t="n">
        <v>18</v>
      </c>
      <c r="AE765" t="n">
        <v>19</v>
      </c>
      <c r="AF765" t="n">
        <v>10</v>
      </c>
      <c r="AG765" t="n">
        <v>10</v>
      </c>
      <c r="AH765" t="n">
        <v>3</v>
      </c>
      <c r="AI765" t="n">
        <v>4</v>
      </c>
      <c r="AJ765" t="n">
        <v>8</v>
      </c>
      <c r="AK765" t="n">
        <v>8</v>
      </c>
      <c r="AL765" t="n">
        <v>2</v>
      </c>
      <c r="AM765" t="n">
        <v>2</v>
      </c>
      <c r="AN765" t="n">
        <v>0</v>
      </c>
      <c r="AO765" t="n">
        <v>0</v>
      </c>
      <c r="AP765" t="inlineStr">
        <is>
          <t>No</t>
        </is>
      </c>
      <c r="AQ765" t="inlineStr">
        <is>
          <t>Yes</t>
        </is>
      </c>
      <c r="AR765">
        <f>HYPERLINK("http://catalog.hathitrust.org/Record/004170725","HathiTrust Record")</f>
        <v/>
      </c>
      <c r="AS765">
        <f>HYPERLINK("https://creighton-primo.hosted.exlibrisgroup.com/primo-explore/search?tab=default_tab&amp;search_scope=EVERYTHING&amp;vid=01CRU&amp;lang=en_US&amp;offset=0&amp;query=any,contains,991003503299702656","Catalog Record")</f>
        <v/>
      </c>
      <c r="AT765">
        <f>HYPERLINK("http://www.worldcat.org/oclc/42295829","WorldCat Record")</f>
        <v/>
      </c>
      <c r="AU765" t="inlineStr">
        <is>
          <t>4917778567:eng</t>
        </is>
      </c>
      <c r="AV765" t="inlineStr">
        <is>
          <t>42295829</t>
        </is>
      </c>
      <c r="AW765" t="inlineStr">
        <is>
          <t>991003503299702656</t>
        </is>
      </c>
      <c r="AX765" t="inlineStr">
        <is>
          <t>991003503299702656</t>
        </is>
      </c>
      <c r="AY765" t="inlineStr">
        <is>
          <t>2255660050002656</t>
        </is>
      </c>
      <c r="AZ765" t="inlineStr">
        <is>
          <t>BOOK</t>
        </is>
      </c>
      <c r="BB765" t="inlineStr">
        <is>
          <t>9780841236486</t>
        </is>
      </c>
      <c r="BC765" t="inlineStr">
        <is>
          <t>32285004390810</t>
        </is>
      </c>
      <c r="BD765" t="inlineStr">
        <is>
          <t>893499357</t>
        </is>
      </c>
    </row>
    <row r="766">
      <c r="A766" t="inlineStr">
        <is>
          <t>No</t>
        </is>
      </c>
      <c r="B766" t="inlineStr">
        <is>
          <t>QD291 .G63 1989</t>
        </is>
      </c>
      <c r="C766" t="inlineStr">
        <is>
          <t>0                      QD 0291000G  63          1989</t>
        </is>
      </c>
      <c r="D766" t="inlineStr">
        <is>
          <t>Naming organic compounds : a systematic instruction manual / E. W. Godly.</t>
        </is>
      </c>
      <c r="F766" t="inlineStr">
        <is>
          <t>No</t>
        </is>
      </c>
      <c r="G766" t="inlineStr">
        <is>
          <t>1</t>
        </is>
      </c>
      <c r="H766" t="inlineStr">
        <is>
          <t>No</t>
        </is>
      </c>
      <c r="I766" t="inlineStr">
        <is>
          <t>No</t>
        </is>
      </c>
      <c r="J766" t="inlineStr">
        <is>
          <t>0</t>
        </is>
      </c>
      <c r="K766" t="inlineStr">
        <is>
          <t>Godly, E. W. (Edward W.)</t>
        </is>
      </c>
      <c r="L766" t="inlineStr">
        <is>
          <t>Chichester : publ. by Ellis Horwood for LGC and CEC, 1989.</t>
        </is>
      </c>
      <c r="M766" t="inlineStr">
        <is>
          <t>1989</t>
        </is>
      </c>
      <c r="O766" t="inlineStr">
        <is>
          <t>eng</t>
        </is>
      </c>
      <c r="P766" t="inlineStr">
        <is>
          <t>enk</t>
        </is>
      </c>
      <c r="R766" t="inlineStr">
        <is>
          <t xml:space="preserve">QD </t>
        </is>
      </c>
      <c r="S766" t="n">
        <v>8</v>
      </c>
      <c r="T766" t="n">
        <v>8</v>
      </c>
      <c r="U766" t="inlineStr">
        <is>
          <t>1997-09-22</t>
        </is>
      </c>
      <c r="V766" t="inlineStr">
        <is>
          <t>1997-09-22</t>
        </is>
      </c>
      <c r="W766" t="inlineStr">
        <is>
          <t>1990-07-25</t>
        </is>
      </c>
      <c r="X766" t="inlineStr">
        <is>
          <t>1990-07-25</t>
        </is>
      </c>
      <c r="Y766" t="n">
        <v>87</v>
      </c>
      <c r="Z766" t="n">
        <v>80</v>
      </c>
      <c r="AA766" t="n">
        <v>80</v>
      </c>
      <c r="AB766" t="n">
        <v>1</v>
      </c>
      <c r="AC766" t="n">
        <v>1</v>
      </c>
      <c r="AD766" t="n">
        <v>2</v>
      </c>
      <c r="AE766" t="n">
        <v>2</v>
      </c>
      <c r="AF766" t="n">
        <v>0</v>
      </c>
      <c r="AG766" t="n">
        <v>0</v>
      </c>
      <c r="AH766" t="n">
        <v>0</v>
      </c>
      <c r="AI766" t="n">
        <v>0</v>
      </c>
      <c r="AJ766" t="n">
        <v>2</v>
      </c>
      <c r="AK766" t="n">
        <v>2</v>
      </c>
      <c r="AL766" t="n">
        <v>0</v>
      </c>
      <c r="AM766" t="n">
        <v>0</v>
      </c>
      <c r="AN766" t="n">
        <v>0</v>
      </c>
      <c r="AO766" t="n">
        <v>0</v>
      </c>
      <c r="AP766" t="inlineStr">
        <is>
          <t>No</t>
        </is>
      </c>
      <c r="AQ766" t="inlineStr">
        <is>
          <t>No</t>
        </is>
      </c>
      <c r="AS766">
        <f>HYPERLINK("https://creighton-primo.hosted.exlibrisgroup.com/primo-explore/search?tab=default_tab&amp;search_scope=EVERYTHING&amp;vid=01CRU&amp;lang=en_US&amp;offset=0&amp;query=any,contains,991001540899702656","Catalog Record")</f>
        <v/>
      </c>
      <c r="AT766">
        <f>HYPERLINK("http://www.worldcat.org/oclc/20130417","WorldCat Record")</f>
        <v/>
      </c>
      <c r="AU766" t="inlineStr">
        <is>
          <t>10387247060:eng</t>
        </is>
      </c>
      <c r="AV766" t="inlineStr">
        <is>
          <t>20130417</t>
        </is>
      </c>
      <c r="AW766" t="inlineStr">
        <is>
          <t>991001540899702656</t>
        </is>
      </c>
      <c r="AX766" t="inlineStr">
        <is>
          <t>991001540899702656</t>
        </is>
      </c>
      <c r="AY766" t="inlineStr">
        <is>
          <t>2263627330002656</t>
        </is>
      </c>
      <c r="AZ766" t="inlineStr">
        <is>
          <t>BOOK</t>
        </is>
      </c>
      <c r="BB766" t="inlineStr">
        <is>
          <t>9780745803593</t>
        </is>
      </c>
      <c r="BC766" t="inlineStr">
        <is>
          <t>32285000240522</t>
        </is>
      </c>
      <c r="BD766" t="inlineStr">
        <is>
          <t>893346583</t>
        </is>
      </c>
    </row>
    <row r="767">
      <c r="A767" t="inlineStr">
        <is>
          <t>No</t>
        </is>
      </c>
      <c r="B767" t="inlineStr">
        <is>
          <t>QD291 .K713 1964</t>
        </is>
      </c>
      <c r="C767" t="inlineStr">
        <is>
          <t>0                      QD 0291000K  713         1964</t>
        </is>
      </c>
      <c r="D767" t="inlineStr">
        <is>
          <t>Organic name reactions; a contribution to the terminology of organic chemistry, biochemistry and theoretical organic chemistry, by Helmut Krauch and Werner Kunz. With a foreword by Friedrich Richter. Translated from the 2d rev. German ed. (with addendum) by John M. Harkin.</t>
        </is>
      </c>
      <c r="F767" t="inlineStr">
        <is>
          <t>No</t>
        </is>
      </c>
      <c r="G767" t="inlineStr">
        <is>
          <t>1</t>
        </is>
      </c>
      <c r="H767" t="inlineStr">
        <is>
          <t>No</t>
        </is>
      </c>
      <c r="I767" t="inlineStr">
        <is>
          <t>No</t>
        </is>
      </c>
      <c r="J767" t="inlineStr">
        <is>
          <t>0</t>
        </is>
      </c>
      <c r="K767" t="inlineStr">
        <is>
          <t>Krauch, Helmut.</t>
        </is>
      </c>
      <c r="L767" t="inlineStr">
        <is>
          <t>New York, Wiley, 1964 [c1962]</t>
        </is>
      </c>
      <c r="M767" t="inlineStr">
        <is>
          <t>1964</t>
        </is>
      </c>
      <c r="O767" t="inlineStr">
        <is>
          <t>eng</t>
        </is>
      </c>
      <c r="P767" t="inlineStr">
        <is>
          <t>nyu</t>
        </is>
      </c>
      <c r="R767" t="inlineStr">
        <is>
          <t xml:space="preserve">QD </t>
        </is>
      </c>
      <c r="S767" t="n">
        <v>1</v>
      </c>
      <c r="T767" t="n">
        <v>1</v>
      </c>
      <c r="U767" t="inlineStr">
        <is>
          <t>1998-03-26</t>
        </is>
      </c>
      <c r="V767" t="inlineStr">
        <is>
          <t>1998-03-26</t>
        </is>
      </c>
      <c r="W767" t="inlineStr">
        <is>
          <t>1997-06-11</t>
        </is>
      </c>
      <c r="X767" t="inlineStr">
        <is>
          <t>1997-06-11</t>
        </is>
      </c>
      <c r="Y767" t="n">
        <v>399</v>
      </c>
      <c r="Z767" t="n">
        <v>347</v>
      </c>
      <c r="AA767" t="n">
        <v>349</v>
      </c>
      <c r="AB767" t="n">
        <v>3</v>
      </c>
      <c r="AC767" t="n">
        <v>3</v>
      </c>
      <c r="AD767" t="n">
        <v>17</v>
      </c>
      <c r="AE767" t="n">
        <v>17</v>
      </c>
      <c r="AF767" t="n">
        <v>5</v>
      </c>
      <c r="AG767" t="n">
        <v>5</v>
      </c>
      <c r="AH767" t="n">
        <v>2</v>
      </c>
      <c r="AI767" t="n">
        <v>2</v>
      </c>
      <c r="AJ767" t="n">
        <v>11</v>
      </c>
      <c r="AK767" t="n">
        <v>11</v>
      </c>
      <c r="AL767" t="n">
        <v>2</v>
      </c>
      <c r="AM767" t="n">
        <v>2</v>
      </c>
      <c r="AN767" t="n">
        <v>0</v>
      </c>
      <c r="AO767" t="n">
        <v>0</v>
      </c>
      <c r="AP767" t="inlineStr">
        <is>
          <t>No</t>
        </is>
      </c>
      <c r="AQ767" t="inlineStr">
        <is>
          <t>Yes</t>
        </is>
      </c>
      <c r="AR767">
        <f>HYPERLINK("http://catalog.hathitrust.org/Record/001113750","HathiTrust Record")</f>
        <v/>
      </c>
      <c r="AS767">
        <f>HYPERLINK("https://creighton-primo.hosted.exlibrisgroup.com/primo-explore/search?tab=default_tab&amp;search_scope=EVERYTHING&amp;vid=01CRU&amp;lang=en_US&amp;offset=0&amp;query=any,contains,991002956779702656","Catalog Record")</f>
        <v/>
      </c>
      <c r="AT767">
        <f>HYPERLINK("http://www.worldcat.org/oclc/14556159","WorldCat Record")</f>
        <v/>
      </c>
      <c r="AU767" t="inlineStr">
        <is>
          <t>5218181077:eng</t>
        </is>
      </c>
      <c r="AV767" t="inlineStr">
        <is>
          <t>14556159</t>
        </is>
      </c>
      <c r="AW767" t="inlineStr">
        <is>
          <t>991002956779702656</t>
        </is>
      </c>
      <c r="AX767" t="inlineStr">
        <is>
          <t>991002956779702656</t>
        </is>
      </c>
      <c r="AY767" t="inlineStr">
        <is>
          <t>2266553770002656</t>
        </is>
      </c>
      <c r="AZ767" t="inlineStr">
        <is>
          <t>BOOK</t>
        </is>
      </c>
      <c r="BC767" t="inlineStr">
        <is>
          <t>32285002794609</t>
        </is>
      </c>
      <c r="BD767" t="inlineStr">
        <is>
          <t>893415848</t>
        </is>
      </c>
    </row>
    <row r="768">
      <c r="A768" t="inlineStr">
        <is>
          <t>No</t>
        </is>
      </c>
      <c r="B768" t="inlineStr">
        <is>
          <t>QD291 .M86 2005</t>
        </is>
      </c>
      <c r="C768" t="inlineStr">
        <is>
          <t>0                      QD 0291000M  86          2005</t>
        </is>
      </c>
      <c r="D768" t="inlineStr">
        <is>
          <t>Name reactions and reagents in organic synthesis.</t>
        </is>
      </c>
      <c r="F768" t="inlineStr">
        <is>
          <t>No</t>
        </is>
      </c>
      <c r="G768" t="inlineStr">
        <is>
          <t>1</t>
        </is>
      </c>
      <c r="H768" t="inlineStr">
        <is>
          <t>No</t>
        </is>
      </c>
      <c r="I768" t="inlineStr">
        <is>
          <t>No</t>
        </is>
      </c>
      <c r="J768" t="inlineStr">
        <is>
          <t>0</t>
        </is>
      </c>
      <c r="K768" t="inlineStr">
        <is>
          <t>Mundy, Bradford P., 1938-</t>
        </is>
      </c>
      <c r="L768" t="inlineStr">
        <is>
          <t>Hoboken, N.J. : Wiley-Interscience/John Wiley, c2005.</t>
        </is>
      </c>
      <c r="M768" t="inlineStr">
        <is>
          <t>2005</t>
        </is>
      </c>
      <c r="N768" t="inlineStr">
        <is>
          <t>2nd ed. / Bradford P. Mundy, Michael G. Ellerd, Frank G. Favaloro, Jr..</t>
        </is>
      </c>
      <c r="O768" t="inlineStr">
        <is>
          <t>eng</t>
        </is>
      </c>
      <c r="P768" t="inlineStr">
        <is>
          <t>nju</t>
        </is>
      </c>
      <c r="R768" t="inlineStr">
        <is>
          <t xml:space="preserve">QD </t>
        </is>
      </c>
      <c r="S768" t="n">
        <v>2</v>
      </c>
      <c r="T768" t="n">
        <v>2</v>
      </c>
      <c r="U768" t="inlineStr">
        <is>
          <t>2007-09-18</t>
        </is>
      </c>
      <c r="V768" t="inlineStr">
        <is>
          <t>2007-09-18</t>
        </is>
      </c>
      <c r="W768" t="inlineStr">
        <is>
          <t>2005-05-10</t>
        </is>
      </c>
      <c r="X768" t="inlineStr">
        <is>
          <t>2005-05-10</t>
        </is>
      </c>
      <c r="Y768" t="n">
        <v>511</v>
      </c>
      <c r="Z768" t="n">
        <v>381</v>
      </c>
      <c r="AA768" t="n">
        <v>821</v>
      </c>
      <c r="AB768" t="n">
        <v>3</v>
      </c>
      <c r="AC768" t="n">
        <v>6</v>
      </c>
      <c r="AD768" t="n">
        <v>24</v>
      </c>
      <c r="AE768" t="n">
        <v>38</v>
      </c>
      <c r="AF768" t="n">
        <v>10</v>
      </c>
      <c r="AG768" t="n">
        <v>16</v>
      </c>
      <c r="AH768" t="n">
        <v>6</v>
      </c>
      <c r="AI768" t="n">
        <v>9</v>
      </c>
      <c r="AJ768" t="n">
        <v>12</v>
      </c>
      <c r="AK768" t="n">
        <v>19</v>
      </c>
      <c r="AL768" t="n">
        <v>2</v>
      </c>
      <c r="AM768" t="n">
        <v>5</v>
      </c>
      <c r="AN768" t="n">
        <v>0</v>
      </c>
      <c r="AO768" t="n">
        <v>0</v>
      </c>
      <c r="AP768" t="inlineStr">
        <is>
          <t>No</t>
        </is>
      </c>
      <c r="AQ768" t="inlineStr">
        <is>
          <t>No</t>
        </is>
      </c>
      <c r="AS768">
        <f>HYPERLINK("https://creighton-primo.hosted.exlibrisgroup.com/primo-explore/search?tab=default_tab&amp;search_scope=EVERYTHING&amp;vid=01CRU&amp;lang=en_US&amp;offset=0&amp;query=any,contains,991004246149702656","Catalog Record")</f>
        <v/>
      </c>
      <c r="AT768">
        <f>HYPERLINK("http://www.worldcat.org/oclc/57527428","WorldCat Record")</f>
        <v/>
      </c>
      <c r="AU768" t="inlineStr">
        <is>
          <t>703081:eng</t>
        </is>
      </c>
      <c r="AV768" t="inlineStr">
        <is>
          <t>57527428</t>
        </is>
      </c>
      <c r="AW768" t="inlineStr">
        <is>
          <t>991004246149702656</t>
        </is>
      </c>
      <c r="AX768" t="inlineStr">
        <is>
          <t>991004246149702656</t>
        </is>
      </c>
      <c r="AY768" t="inlineStr">
        <is>
          <t>2262825040002656</t>
        </is>
      </c>
      <c r="AZ768" t="inlineStr">
        <is>
          <t>BOOK</t>
        </is>
      </c>
      <c r="BB768" t="inlineStr">
        <is>
          <t>9780471228547</t>
        </is>
      </c>
      <c r="BC768" t="inlineStr">
        <is>
          <t>32285005036644</t>
        </is>
      </c>
      <c r="BD768" t="inlineStr">
        <is>
          <t>893500321</t>
        </is>
      </c>
    </row>
    <row r="769">
      <c r="A769" t="inlineStr">
        <is>
          <t>No</t>
        </is>
      </c>
      <c r="B769" t="inlineStr">
        <is>
          <t>QD291 .T72 2009</t>
        </is>
      </c>
      <c r="C769" t="inlineStr">
        <is>
          <t>0                      QD 0291000T  72          2009</t>
        </is>
      </c>
      <c r="D769" t="inlineStr">
        <is>
          <t>Organic nomenclature : a programmed introduction / James G. Traynham.</t>
        </is>
      </c>
      <c r="F769" t="inlineStr">
        <is>
          <t>No</t>
        </is>
      </c>
      <c r="G769" t="inlineStr">
        <is>
          <t>1</t>
        </is>
      </c>
      <c r="H769" t="inlineStr">
        <is>
          <t>No</t>
        </is>
      </c>
      <c r="I769" t="inlineStr">
        <is>
          <t>No</t>
        </is>
      </c>
      <c r="J769" t="inlineStr">
        <is>
          <t>0</t>
        </is>
      </c>
      <c r="K769" t="inlineStr">
        <is>
          <t>Traynham, James G.</t>
        </is>
      </c>
      <c r="L769" t="inlineStr">
        <is>
          <t>Upper Saddle River, N.J. : Pearson Prentice Hall, c2009.</t>
        </is>
      </c>
      <c r="M769" t="inlineStr">
        <is>
          <t>2009</t>
        </is>
      </c>
      <c r="N769" t="inlineStr">
        <is>
          <t>6th ed.</t>
        </is>
      </c>
      <c r="O769" t="inlineStr">
        <is>
          <t>eng</t>
        </is>
      </c>
      <c r="P769" t="inlineStr">
        <is>
          <t>nju</t>
        </is>
      </c>
      <c r="R769" t="inlineStr">
        <is>
          <t xml:space="preserve">QD </t>
        </is>
      </c>
      <c r="S769" t="n">
        <v>1</v>
      </c>
      <c r="T769" t="n">
        <v>1</v>
      </c>
      <c r="U769" t="inlineStr">
        <is>
          <t>2008-10-07</t>
        </is>
      </c>
      <c r="V769" t="inlineStr">
        <is>
          <t>2008-10-07</t>
        </is>
      </c>
      <c r="W769" t="inlineStr">
        <is>
          <t>2008-10-07</t>
        </is>
      </c>
      <c r="X769" t="inlineStr">
        <is>
          <t>2008-10-07</t>
        </is>
      </c>
      <c r="Y769" t="n">
        <v>89</v>
      </c>
      <c r="Z769" t="n">
        <v>56</v>
      </c>
      <c r="AA769" t="n">
        <v>396</v>
      </c>
      <c r="AB769" t="n">
        <v>1</v>
      </c>
      <c r="AC769" t="n">
        <v>3</v>
      </c>
      <c r="AD769" t="n">
        <v>0</v>
      </c>
      <c r="AE769" t="n">
        <v>11</v>
      </c>
      <c r="AF769" t="n">
        <v>0</v>
      </c>
      <c r="AG769" t="n">
        <v>3</v>
      </c>
      <c r="AH769" t="n">
        <v>0</v>
      </c>
      <c r="AI769" t="n">
        <v>2</v>
      </c>
      <c r="AJ769" t="n">
        <v>0</v>
      </c>
      <c r="AK769" t="n">
        <v>7</v>
      </c>
      <c r="AL769" t="n">
        <v>0</v>
      </c>
      <c r="AM769" t="n">
        <v>2</v>
      </c>
      <c r="AN769" t="n">
        <v>0</v>
      </c>
      <c r="AO769" t="n">
        <v>0</v>
      </c>
      <c r="AP769" t="inlineStr">
        <is>
          <t>No</t>
        </is>
      </c>
      <c r="AQ769" t="inlineStr">
        <is>
          <t>No</t>
        </is>
      </c>
      <c r="AS769">
        <f>HYPERLINK("https://creighton-primo.hosted.exlibrisgroup.com/primo-explore/search?tab=default_tab&amp;search_scope=EVERYTHING&amp;vid=01CRU&amp;lang=en_US&amp;offset=0&amp;query=any,contains,991005269089702656","Catalog Record")</f>
        <v/>
      </c>
      <c r="AT769">
        <f>HYPERLINK("http://www.worldcat.org/oclc/191865925","WorldCat Record")</f>
        <v/>
      </c>
      <c r="AU769" t="inlineStr">
        <is>
          <t>1574068:eng</t>
        </is>
      </c>
      <c r="AV769" t="inlineStr">
        <is>
          <t>191865925</t>
        </is>
      </c>
      <c r="AW769" t="inlineStr">
        <is>
          <t>991005269089702656</t>
        </is>
      </c>
      <c r="AX769" t="inlineStr">
        <is>
          <t>991005269089702656</t>
        </is>
      </c>
      <c r="AY769" t="inlineStr">
        <is>
          <t>2261641860002656</t>
        </is>
      </c>
      <c r="AZ769" t="inlineStr">
        <is>
          <t>BOOK</t>
        </is>
      </c>
      <c r="BB769" t="inlineStr">
        <is>
          <t>9780130178688</t>
        </is>
      </c>
      <c r="BC769" t="inlineStr">
        <is>
          <t>32285005461727</t>
        </is>
      </c>
      <c r="BD769" t="inlineStr">
        <is>
          <t>893418655</t>
        </is>
      </c>
    </row>
    <row r="770">
      <c r="A770" t="inlineStr">
        <is>
          <t>No</t>
        </is>
      </c>
      <c r="B770" t="inlineStr">
        <is>
          <t>QD291 .V63 2005</t>
        </is>
      </c>
      <c r="C770" t="inlineStr">
        <is>
          <t>0                      QD 0291000V  63          2005</t>
        </is>
      </c>
      <c r="D770" t="inlineStr">
        <is>
          <t>The vocabulary and concepts of organic chemistry / Milton Orchin ... [et al.].</t>
        </is>
      </c>
      <c r="F770" t="inlineStr">
        <is>
          <t>No</t>
        </is>
      </c>
      <c r="G770" t="inlineStr">
        <is>
          <t>1</t>
        </is>
      </c>
      <c r="H770" t="inlineStr">
        <is>
          <t>No</t>
        </is>
      </c>
      <c r="I770" t="inlineStr">
        <is>
          <t>No</t>
        </is>
      </c>
      <c r="J770" t="inlineStr">
        <is>
          <t>0</t>
        </is>
      </c>
      <c r="L770" t="inlineStr">
        <is>
          <t>Hoboken, N.J. : Wiley-Interscience, c2005</t>
        </is>
      </c>
      <c r="M770" t="inlineStr">
        <is>
          <t>2005</t>
        </is>
      </c>
      <c r="N770" t="inlineStr">
        <is>
          <t>2nd ed.</t>
        </is>
      </c>
      <c r="O770" t="inlineStr">
        <is>
          <t>eng</t>
        </is>
      </c>
      <c r="P770" t="inlineStr">
        <is>
          <t>nju</t>
        </is>
      </c>
      <c r="R770" t="inlineStr">
        <is>
          <t xml:space="preserve">QD </t>
        </is>
      </c>
      <c r="S770" t="n">
        <v>1</v>
      </c>
      <c r="T770" t="n">
        <v>1</v>
      </c>
      <c r="U770" t="inlineStr">
        <is>
          <t>2006-02-14</t>
        </is>
      </c>
      <c r="V770" t="inlineStr">
        <is>
          <t>2006-02-14</t>
        </is>
      </c>
      <c r="W770" t="inlineStr">
        <is>
          <t>2006-02-14</t>
        </is>
      </c>
      <c r="X770" t="inlineStr">
        <is>
          <t>2006-02-14</t>
        </is>
      </c>
      <c r="Y770" t="n">
        <v>601</v>
      </c>
      <c r="Z770" t="n">
        <v>488</v>
      </c>
      <c r="AA770" t="n">
        <v>577</v>
      </c>
      <c r="AB770" t="n">
        <v>4</v>
      </c>
      <c r="AC770" t="n">
        <v>4</v>
      </c>
      <c r="AD770" t="n">
        <v>24</v>
      </c>
      <c r="AE770" t="n">
        <v>25</v>
      </c>
      <c r="AF770" t="n">
        <v>11</v>
      </c>
      <c r="AG770" t="n">
        <v>12</v>
      </c>
      <c r="AH770" t="n">
        <v>6</v>
      </c>
      <c r="AI770" t="n">
        <v>6</v>
      </c>
      <c r="AJ770" t="n">
        <v>10</v>
      </c>
      <c r="AK770" t="n">
        <v>11</v>
      </c>
      <c r="AL770" t="n">
        <v>3</v>
      </c>
      <c r="AM770" t="n">
        <v>3</v>
      </c>
      <c r="AN770" t="n">
        <v>0</v>
      </c>
      <c r="AO770" t="n">
        <v>0</v>
      </c>
      <c r="AP770" t="inlineStr">
        <is>
          <t>No</t>
        </is>
      </c>
      <c r="AQ770" t="inlineStr">
        <is>
          <t>Yes</t>
        </is>
      </c>
      <c r="AR770">
        <f>HYPERLINK("http://catalog.hathitrust.org/Record/102054974","HathiTrust Record")</f>
        <v/>
      </c>
      <c r="AS770">
        <f>HYPERLINK("https://creighton-primo.hosted.exlibrisgroup.com/primo-explore/search?tab=default_tab&amp;search_scope=EVERYTHING&amp;vid=01CRU&amp;lang=en_US&amp;offset=0&amp;query=any,contains,991004724829702656","Catalog Record")</f>
        <v/>
      </c>
      <c r="AT770">
        <f>HYPERLINK("http://www.worldcat.org/oclc/57527553","WorldCat Record")</f>
        <v/>
      </c>
      <c r="AU770" t="inlineStr">
        <is>
          <t>766905546:eng</t>
        </is>
      </c>
      <c r="AV770" t="inlineStr">
        <is>
          <t>57527553</t>
        </is>
      </c>
      <c r="AW770" t="inlineStr">
        <is>
          <t>991004724829702656</t>
        </is>
      </c>
      <c r="AX770" t="inlineStr">
        <is>
          <t>991004724829702656</t>
        </is>
      </c>
      <c r="AY770" t="inlineStr">
        <is>
          <t>2262856930002656</t>
        </is>
      </c>
      <c r="AZ770" t="inlineStr">
        <is>
          <t>BOOK</t>
        </is>
      </c>
      <c r="BB770" t="inlineStr">
        <is>
          <t>9780471680284</t>
        </is>
      </c>
      <c r="BC770" t="inlineStr">
        <is>
          <t>32285005158810</t>
        </is>
      </c>
      <c r="BD770" t="inlineStr">
        <is>
          <t>893882857</t>
        </is>
      </c>
    </row>
    <row r="771">
      <c r="A771" t="inlineStr">
        <is>
          <t>No</t>
        </is>
      </c>
      <c r="B771" t="inlineStr">
        <is>
          <t>QD3 .F22 1991</t>
        </is>
      </c>
      <c r="C771" t="inlineStr">
        <is>
          <t>0                      QD 0003000F  22          1991</t>
        </is>
      </c>
      <c r="D771" t="inlineStr">
        <is>
          <t>Michael Faraday's 'Chemical notes, hints, suggestions, and objects of pursuit' of 1822 / edited by Ryan D. Tweney &amp; David Gooding.</t>
        </is>
      </c>
      <c r="F771" t="inlineStr">
        <is>
          <t>No</t>
        </is>
      </c>
      <c r="G771" t="inlineStr">
        <is>
          <t>1</t>
        </is>
      </c>
      <c r="H771" t="inlineStr">
        <is>
          <t>No</t>
        </is>
      </c>
      <c r="I771" t="inlineStr">
        <is>
          <t>No</t>
        </is>
      </c>
      <c r="J771" t="inlineStr">
        <is>
          <t>0</t>
        </is>
      </c>
      <c r="K771" t="inlineStr">
        <is>
          <t>Faraday, Michael, 1791-1867.</t>
        </is>
      </c>
      <c r="L771" t="inlineStr">
        <is>
          <t>London : P. Peregrinus in association with the Science Museum, c1991.</t>
        </is>
      </c>
      <c r="M771" t="inlineStr">
        <is>
          <t>1991</t>
        </is>
      </c>
      <c r="O771" t="inlineStr">
        <is>
          <t>eng</t>
        </is>
      </c>
      <c r="P771" t="inlineStr">
        <is>
          <t>enk</t>
        </is>
      </c>
      <c r="Q771" t="inlineStr">
        <is>
          <t>IEE history of technology series ; 17</t>
        </is>
      </c>
      <c r="R771" t="inlineStr">
        <is>
          <t xml:space="preserve">QD </t>
        </is>
      </c>
      <c r="S771" t="n">
        <v>2</v>
      </c>
      <c r="T771" t="n">
        <v>2</v>
      </c>
      <c r="U771" t="inlineStr">
        <is>
          <t>1994-02-15</t>
        </is>
      </c>
      <c r="V771" t="inlineStr">
        <is>
          <t>1994-02-15</t>
        </is>
      </c>
      <c r="W771" t="inlineStr">
        <is>
          <t>1992-10-27</t>
        </is>
      </c>
      <c r="X771" t="inlineStr">
        <is>
          <t>1992-10-27</t>
        </is>
      </c>
      <c r="Y771" t="n">
        <v>137</v>
      </c>
      <c r="Z771" t="n">
        <v>88</v>
      </c>
      <c r="AA771" t="n">
        <v>113</v>
      </c>
      <c r="AB771" t="n">
        <v>1</v>
      </c>
      <c r="AC771" t="n">
        <v>2</v>
      </c>
      <c r="AD771" t="n">
        <v>3</v>
      </c>
      <c r="AE771" t="n">
        <v>5</v>
      </c>
      <c r="AF771" t="n">
        <v>1</v>
      </c>
      <c r="AG771" t="n">
        <v>2</v>
      </c>
      <c r="AH771" t="n">
        <v>2</v>
      </c>
      <c r="AI771" t="n">
        <v>3</v>
      </c>
      <c r="AJ771" t="n">
        <v>2</v>
      </c>
      <c r="AK771" t="n">
        <v>2</v>
      </c>
      <c r="AL771" t="n">
        <v>0</v>
      </c>
      <c r="AM771" t="n">
        <v>1</v>
      </c>
      <c r="AN771" t="n">
        <v>0</v>
      </c>
      <c r="AO771" t="n">
        <v>0</v>
      </c>
      <c r="AP771" t="inlineStr">
        <is>
          <t>No</t>
        </is>
      </c>
      <c r="AQ771" t="inlineStr">
        <is>
          <t>No</t>
        </is>
      </c>
      <c r="AS771">
        <f>HYPERLINK("https://creighton-primo.hosted.exlibrisgroup.com/primo-explore/search?tab=default_tab&amp;search_scope=EVERYTHING&amp;vid=01CRU&amp;lang=en_US&amp;offset=0&amp;query=any,contains,991002071059702656","Catalog Record")</f>
        <v/>
      </c>
      <c r="AT771">
        <f>HYPERLINK("http://www.worldcat.org/oclc/26543807","WorldCat Record")</f>
        <v/>
      </c>
      <c r="AU771" t="inlineStr">
        <is>
          <t>1079594145:eng</t>
        </is>
      </c>
      <c r="AV771" t="inlineStr">
        <is>
          <t>26543807</t>
        </is>
      </c>
      <c r="AW771" t="inlineStr">
        <is>
          <t>991002071059702656</t>
        </is>
      </c>
      <c r="AX771" t="inlineStr">
        <is>
          <t>991002071059702656</t>
        </is>
      </c>
      <c r="AY771" t="inlineStr">
        <is>
          <t>2263207800002656</t>
        </is>
      </c>
      <c r="AZ771" t="inlineStr">
        <is>
          <t>BOOK</t>
        </is>
      </c>
      <c r="BB771" t="inlineStr">
        <is>
          <t>9780863412554</t>
        </is>
      </c>
      <c r="BC771" t="inlineStr">
        <is>
          <t>32285001319408</t>
        </is>
      </c>
      <c r="BD771" t="inlineStr">
        <is>
          <t>893256835</t>
        </is>
      </c>
    </row>
    <row r="772">
      <c r="A772" t="inlineStr">
        <is>
          <t>No</t>
        </is>
      </c>
      <c r="B772" t="inlineStr">
        <is>
          <t>QD305.C3 C37 2004</t>
        </is>
      </c>
      <c r="C772" t="inlineStr">
        <is>
          <t>0                      QD 0305000C  3                  C  37          2004</t>
        </is>
      </c>
      <c r="D772" t="inlineStr">
        <is>
          <t>Carbocation chemistry / edited by George A. Olah, G.K. Surya Prakash.</t>
        </is>
      </c>
      <c r="F772" t="inlineStr">
        <is>
          <t>No</t>
        </is>
      </c>
      <c r="G772" t="inlineStr">
        <is>
          <t>1</t>
        </is>
      </c>
      <c r="H772" t="inlineStr">
        <is>
          <t>No</t>
        </is>
      </c>
      <c r="I772" t="inlineStr">
        <is>
          <t>No</t>
        </is>
      </c>
      <c r="J772" t="inlineStr">
        <is>
          <t>0</t>
        </is>
      </c>
      <c r="L772" t="inlineStr">
        <is>
          <t>Hoboken, H.J. : Wiley-Interscience, c2004.</t>
        </is>
      </c>
      <c r="M772" t="inlineStr">
        <is>
          <t>2004</t>
        </is>
      </c>
      <c r="O772" t="inlineStr">
        <is>
          <t>eng</t>
        </is>
      </c>
      <c r="P772" t="inlineStr">
        <is>
          <t>nju</t>
        </is>
      </c>
      <c r="R772" t="inlineStr">
        <is>
          <t xml:space="preserve">QD </t>
        </is>
      </c>
      <c r="S772" t="n">
        <v>1</v>
      </c>
      <c r="T772" t="n">
        <v>1</v>
      </c>
      <c r="U772" t="inlineStr">
        <is>
          <t>2004-11-15</t>
        </is>
      </c>
      <c r="V772" t="inlineStr">
        <is>
          <t>2004-11-15</t>
        </is>
      </c>
      <c r="W772" t="inlineStr">
        <is>
          <t>2004-11-15</t>
        </is>
      </c>
      <c r="X772" t="inlineStr">
        <is>
          <t>2004-11-15</t>
        </is>
      </c>
      <c r="Y772" t="n">
        <v>251</v>
      </c>
      <c r="Z772" t="n">
        <v>167</v>
      </c>
      <c r="AA772" t="n">
        <v>208</v>
      </c>
      <c r="AB772" t="n">
        <v>3</v>
      </c>
      <c r="AC772" t="n">
        <v>3</v>
      </c>
      <c r="AD772" t="n">
        <v>10</v>
      </c>
      <c r="AE772" t="n">
        <v>10</v>
      </c>
      <c r="AF772" t="n">
        <v>2</v>
      </c>
      <c r="AG772" t="n">
        <v>2</v>
      </c>
      <c r="AH772" t="n">
        <v>1</v>
      </c>
      <c r="AI772" t="n">
        <v>1</v>
      </c>
      <c r="AJ772" t="n">
        <v>8</v>
      </c>
      <c r="AK772" t="n">
        <v>8</v>
      </c>
      <c r="AL772" t="n">
        <v>2</v>
      </c>
      <c r="AM772" t="n">
        <v>2</v>
      </c>
      <c r="AN772" t="n">
        <v>0</v>
      </c>
      <c r="AO772" t="n">
        <v>0</v>
      </c>
      <c r="AP772" t="inlineStr">
        <is>
          <t>No</t>
        </is>
      </c>
      <c r="AQ772" t="inlineStr">
        <is>
          <t>No</t>
        </is>
      </c>
      <c r="AS772">
        <f>HYPERLINK("https://creighton-primo.hosted.exlibrisgroup.com/primo-explore/search?tab=default_tab&amp;search_scope=EVERYTHING&amp;vid=01CRU&amp;lang=en_US&amp;offset=0&amp;query=any,contains,991004408619702656","Catalog Record")</f>
        <v/>
      </c>
      <c r="AT772">
        <f>HYPERLINK("http://www.worldcat.org/oclc/54374562","WorldCat Record")</f>
        <v/>
      </c>
      <c r="AU772" t="inlineStr">
        <is>
          <t>354180807:eng</t>
        </is>
      </c>
      <c r="AV772" t="inlineStr">
        <is>
          <t>54374562</t>
        </is>
      </c>
      <c r="AW772" t="inlineStr">
        <is>
          <t>991004408619702656</t>
        </is>
      </c>
      <c r="AX772" t="inlineStr">
        <is>
          <t>991004408619702656</t>
        </is>
      </c>
      <c r="AY772" t="inlineStr">
        <is>
          <t>2255228090002656</t>
        </is>
      </c>
      <c r="AZ772" t="inlineStr">
        <is>
          <t>BOOK</t>
        </is>
      </c>
      <c r="BB772" t="inlineStr">
        <is>
          <t>9780471284901</t>
        </is>
      </c>
      <c r="BC772" t="inlineStr">
        <is>
          <t>32285005010011</t>
        </is>
      </c>
      <c r="BD772" t="inlineStr">
        <is>
          <t>893624696</t>
        </is>
      </c>
    </row>
    <row r="773">
      <c r="A773" t="inlineStr">
        <is>
          <t>No</t>
        </is>
      </c>
      <c r="B773" t="inlineStr">
        <is>
          <t>QD305.H7 D4 1982</t>
        </is>
      </c>
      <c r="C773" t="inlineStr">
        <is>
          <t>0                      QD 0305000H  7                  D  4           1982</t>
        </is>
      </c>
      <c r="D773" t="inlineStr">
        <is>
          <t>Electrophilic additions to unsaturated systems / P.B.D. de la Mare, R. Bolton.</t>
        </is>
      </c>
      <c r="F773" t="inlineStr">
        <is>
          <t>No</t>
        </is>
      </c>
      <c r="G773" t="inlineStr">
        <is>
          <t>1</t>
        </is>
      </c>
      <c r="H773" t="inlineStr">
        <is>
          <t>No</t>
        </is>
      </c>
      <c r="I773" t="inlineStr">
        <is>
          <t>No</t>
        </is>
      </c>
      <c r="J773" t="inlineStr">
        <is>
          <t>0</t>
        </is>
      </c>
      <c r="K773" t="inlineStr">
        <is>
          <t>De la Mare, Peter Bernard David.</t>
        </is>
      </c>
      <c r="L773" t="inlineStr">
        <is>
          <t>Amsterdam ; New York : Elsevier Scientific Pub. Co., 1982.</t>
        </is>
      </c>
      <c r="M773" t="inlineStr">
        <is>
          <t>1982</t>
        </is>
      </c>
      <c r="N773" t="inlineStr">
        <is>
          <t>2nd ed.</t>
        </is>
      </c>
      <c r="O773" t="inlineStr">
        <is>
          <t>eng</t>
        </is>
      </c>
      <c r="P773" t="inlineStr">
        <is>
          <t xml:space="preserve">ne </t>
        </is>
      </c>
      <c r="Q773" t="inlineStr">
        <is>
          <t>Studies in organic chemistry ; 9</t>
        </is>
      </c>
      <c r="R773" t="inlineStr">
        <is>
          <t xml:space="preserve">QD </t>
        </is>
      </c>
      <c r="S773" t="n">
        <v>9</v>
      </c>
      <c r="T773" t="n">
        <v>9</v>
      </c>
      <c r="U773" t="inlineStr">
        <is>
          <t>2002-02-27</t>
        </is>
      </c>
      <c r="V773" t="inlineStr">
        <is>
          <t>2002-02-27</t>
        </is>
      </c>
      <c r="W773" t="inlineStr">
        <is>
          <t>1992-05-28</t>
        </is>
      </c>
      <c r="X773" t="inlineStr">
        <is>
          <t>1992-05-28</t>
        </is>
      </c>
      <c r="Y773" t="n">
        <v>224</v>
      </c>
      <c r="Z773" t="n">
        <v>148</v>
      </c>
      <c r="AA773" t="n">
        <v>505</v>
      </c>
      <c r="AB773" t="n">
        <v>2</v>
      </c>
      <c r="AC773" t="n">
        <v>3</v>
      </c>
      <c r="AD773" t="n">
        <v>8</v>
      </c>
      <c r="AE773" t="n">
        <v>24</v>
      </c>
      <c r="AF773" t="n">
        <v>2</v>
      </c>
      <c r="AG773" t="n">
        <v>8</v>
      </c>
      <c r="AH773" t="n">
        <v>2</v>
      </c>
      <c r="AI773" t="n">
        <v>6</v>
      </c>
      <c r="AJ773" t="n">
        <v>4</v>
      </c>
      <c r="AK773" t="n">
        <v>13</v>
      </c>
      <c r="AL773" t="n">
        <v>1</v>
      </c>
      <c r="AM773" t="n">
        <v>2</v>
      </c>
      <c r="AN773" t="n">
        <v>0</v>
      </c>
      <c r="AO773" t="n">
        <v>0</v>
      </c>
      <c r="AP773" t="inlineStr">
        <is>
          <t>No</t>
        </is>
      </c>
      <c r="AQ773" t="inlineStr">
        <is>
          <t>Yes</t>
        </is>
      </c>
      <c r="AR773">
        <f>HYPERLINK("http://catalog.hathitrust.org/Record/000303575","HathiTrust Record")</f>
        <v/>
      </c>
      <c r="AS773">
        <f>HYPERLINK("https://creighton-primo.hosted.exlibrisgroup.com/primo-explore/search?tab=default_tab&amp;search_scope=EVERYTHING&amp;vid=01CRU&amp;lang=en_US&amp;offset=0&amp;query=any,contains,991005389209702656","Catalog Record")</f>
        <v/>
      </c>
      <c r="AT773">
        <f>HYPERLINK("http://www.worldcat.org/oclc/7837515","WorldCat Record")</f>
        <v/>
      </c>
      <c r="AU773" t="inlineStr">
        <is>
          <t>4918483085:eng</t>
        </is>
      </c>
      <c r="AV773" t="inlineStr">
        <is>
          <t>7837515</t>
        </is>
      </c>
      <c r="AW773" t="inlineStr">
        <is>
          <t>991005389209702656</t>
        </is>
      </c>
      <c r="AX773" t="inlineStr">
        <is>
          <t>991005389209702656</t>
        </is>
      </c>
      <c r="AY773" t="inlineStr">
        <is>
          <t>2256906650002656</t>
        </is>
      </c>
      <c r="AZ773" t="inlineStr">
        <is>
          <t>BOOK</t>
        </is>
      </c>
      <c r="BB773" t="inlineStr">
        <is>
          <t>9780444420305</t>
        </is>
      </c>
      <c r="BC773" t="inlineStr">
        <is>
          <t>32285001113967</t>
        </is>
      </c>
      <c r="BD773" t="inlineStr">
        <is>
          <t>893607326</t>
        </is>
      </c>
    </row>
    <row r="774">
      <c r="A774" t="inlineStr">
        <is>
          <t>No</t>
        </is>
      </c>
      <c r="B774" t="inlineStr">
        <is>
          <t>QD305.H7 P3</t>
        </is>
      </c>
      <c r="C774" t="inlineStr">
        <is>
          <t>0                      QD 0305000H  7                  P  3</t>
        </is>
      </c>
      <c r="D774" t="inlineStr">
        <is>
          <t>The chemistry of alkenes.</t>
        </is>
      </c>
      <c r="F774" t="inlineStr">
        <is>
          <t>No</t>
        </is>
      </c>
      <c r="G774" t="inlineStr">
        <is>
          <t>1</t>
        </is>
      </c>
      <c r="H774" t="inlineStr">
        <is>
          <t>No</t>
        </is>
      </c>
      <c r="I774" t="inlineStr">
        <is>
          <t>No</t>
        </is>
      </c>
      <c r="J774" t="inlineStr">
        <is>
          <t>0</t>
        </is>
      </c>
      <c r="K774" t="inlineStr">
        <is>
          <t>Patai, Saul, editor.</t>
        </is>
      </c>
      <c r="L774" t="inlineStr">
        <is>
          <t>London, New York : Interscience Publishers, 1964.</t>
        </is>
      </c>
      <c r="M774" t="inlineStr">
        <is>
          <t>1964</t>
        </is>
      </c>
      <c r="O774" t="inlineStr">
        <is>
          <t>eng</t>
        </is>
      </c>
      <c r="P774" t="inlineStr">
        <is>
          <t xml:space="preserve">xx </t>
        </is>
      </c>
      <c r="Q774" t="inlineStr">
        <is>
          <t>The Chemistry of functional groups.</t>
        </is>
      </c>
      <c r="R774" t="inlineStr">
        <is>
          <t xml:space="preserve">QD </t>
        </is>
      </c>
      <c r="S774" t="n">
        <v>6</v>
      </c>
      <c r="T774" t="n">
        <v>6</v>
      </c>
      <c r="U774" t="inlineStr">
        <is>
          <t>2003-03-07</t>
        </is>
      </c>
      <c r="V774" t="inlineStr">
        <is>
          <t>2003-03-07</t>
        </is>
      </c>
      <c r="W774" t="inlineStr">
        <is>
          <t>1997-06-11</t>
        </is>
      </c>
      <c r="X774" t="inlineStr">
        <is>
          <t>1997-06-11</t>
        </is>
      </c>
      <c r="Y774" t="n">
        <v>152</v>
      </c>
      <c r="Z774" t="n">
        <v>107</v>
      </c>
      <c r="AA774" t="n">
        <v>186</v>
      </c>
      <c r="AB774" t="n">
        <v>3</v>
      </c>
      <c r="AC774" t="n">
        <v>3</v>
      </c>
      <c r="AD774" t="n">
        <v>6</v>
      </c>
      <c r="AE774" t="n">
        <v>6</v>
      </c>
      <c r="AF774" t="n">
        <v>2</v>
      </c>
      <c r="AG774" t="n">
        <v>2</v>
      </c>
      <c r="AH774" t="n">
        <v>0</v>
      </c>
      <c r="AI774" t="n">
        <v>0</v>
      </c>
      <c r="AJ774" t="n">
        <v>2</v>
      </c>
      <c r="AK774" t="n">
        <v>2</v>
      </c>
      <c r="AL774" t="n">
        <v>2</v>
      </c>
      <c r="AM774" t="n">
        <v>2</v>
      </c>
      <c r="AN774" t="n">
        <v>0</v>
      </c>
      <c r="AO774" t="n">
        <v>0</v>
      </c>
      <c r="AP774" t="inlineStr">
        <is>
          <t>No</t>
        </is>
      </c>
      <c r="AQ774" t="inlineStr">
        <is>
          <t>No</t>
        </is>
      </c>
      <c r="AS774">
        <f>HYPERLINK("https://creighton-primo.hosted.exlibrisgroup.com/primo-explore/search?tab=default_tab&amp;search_scope=EVERYTHING&amp;vid=01CRU&amp;lang=en_US&amp;offset=0&amp;query=any,contains,991004900829702656","Catalog Record")</f>
        <v/>
      </c>
      <c r="AT774">
        <f>HYPERLINK("http://www.worldcat.org/oclc/5935379","WorldCat Record")</f>
        <v/>
      </c>
      <c r="AU774" t="inlineStr">
        <is>
          <t>354689196:eng</t>
        </is>
      </c>
      <c r="AV774" t="inlineStr">
        <is>
          <t>5935379</t>
        </is>
      </c>
      <c r="AW774" t="inlineStr">
        <is>
          <t>991004900829702656</t>
        </is>
      </c>
      <c r="AX774" t="inlineStr">
        <is>
          <t>991004900829702656</t>
        </is>
      </c>
      <c r="AY774" t="inlineStr">
        <is>
          <t>2262398740002656</t>
        </is>
      </c>
      <c r="AZ774" t="inlineStr">
        <is>
          <t>BOOK</t>
        </is>
      </c>
      <c r="BC774" t="inlineStr">
        <is>
          <t>32285002794732</t>
        </is>
      </c>
      <c r="BD774" t="inlineStr">
        <is>
          <t>893782785</t>
        </is>
      </c>
    </row>
    <row r="775">
      <c r="A775" t="inlineStr">
        <is>
          <t>No</t>
        </is>
      </c>
      <c r="B775" t="inlineStr">
        <is>
          <t>QD305.H8 A34 2005</t>
        </is>
      </c>
      <c r="C775" t="inlineStr">
        <is>
          <t>0                      QD 0305000H  8                  A  34          2005</t>
        </is>
      </c>
      <c r="D775" t="inlineStr">
        <is>
          <t>Acetylene chemistry : chemistry, biology and material science / edited by F. Diederich, P.J. Stang, R.R. Tykwinski.</t>
        </is>
      </c>
      <c r="F775" t="inlineStr">
        <is>
          <t>No</t>
        </is>
      </c>
      <c r="G775" t="inlineStr">
        <is>
          <t>1</t>
        </is>
      </c>
      <c r="H775" t="inlineStr">
        <is>
          <t>No</t>
        </is>
      </c>
      <c r="I775" t="inlineStr">
        <is>
          <t>No</t>
        </is>
      </c>
      <c r="J775" t="inlineStr">
        <is>
          <t>0</t>
        </is>
      </c>
      <c r="L775" t="inlineStr">
        <is>
          <t>Weinheim ; [Great Britain] : Wiley-VCH, c2005.</t>
        </is>
      </c>
      <c r="M775" t="inlineStr">
        <is>
          <t>2005</t>
        </is>
      </c>
      <c r="O775" t="inlineStr">
        <is>
          <t>eng</t>
        </is>
      </c>
      <c r="P775" t="inlineStr">
        <is>
          <t xml:space="preserve">gw </t>
        </is>
      </c>
      <c r="R775" t="inlineStr">
        <is>
          <t xml:space="preserve">QD </t>
        </is>
      </c>
      <c r="S775" t="n">
        <v>1</v>
      </c>
      <c r="T775" t="n">
        <v>1</v>
      </c>
      <c r="U775" t="inlineStr">
        <is>
          <t>2007-02-27</t>
        </is>
      </c>
      <c r="V775" t="inlineStr">
        <is>
          <t>2007-02-27</t>
        </is>
      </c>
      <c r="W775" t="inlineStr">
        <is>
          <t>2007-02-27</t>
        </is>
      </c>
      <c r="X775" t="inlineStr">
        <is>
          <t>2007-02-27</t>
        </is>
      </c>
      <c r="Y775" t="n">
        <v>174</v>
      </c>
      <c r="Z775" t="n">
        <v>102</v>
      </c>
      <c r="AA775" t="n">
        <v>175</v>
      </c>
      <c r="AB775" t="n">
        <v>2</v>
      </c>
      <c r="AC775" t="n">
        <v>2</v>
      </c>
      <c r="AD775" t="n">
        <v>3</v>
      </c>
      <c r="AE775" t="n">
        <v>4</v>
      </c>
      <c r="AF775" t="n">
        <v>0</v>
      </c>
      <c r="AG775" t="n">
        <v>1</v>
      </c>
      <c r="AH775" t="n">
        <v>1</v>
      </c>
      <c r="AI775" t="n">
        <v>1</v>
      </c>
      <c r="AJ775" t="n">
        <v>2</v>
      </c>
      <c r="AK775" t="n">
        <v>3</v>
      </c>
      <c r="AL775" t="n">
        <v>1</v>
      </c>
      <c r="AM775" t="n">
        <v>1</v>
      </c>
      <c r="AN775" t="n">
        <v>0</v>
      </c>
      <c r="AO775" t="n">
        <v>0</v>
      </c>
      <c r="AP775" t="inlineStr">
        <is>
          <t>No</t>
        </is>
      </c>
      <c r="AQ775" t="inlineStr">
        <is>
          <t>Yes</t>
        </is>
      </c>
      <c r="AR775">
        <f>HYPERLINK("http://catalog.hathitrust.org/Record/004960903","HathiTrust Record")</f>
        <v/>
      </c>
      <c r="AS775">
        <f>HYPERLINK("https://creighton-primo.hosted.exlibrisgroup.com/primo-explore/search?tab=default_tab&amp;search_scope=EVERYTHING&amp;vid=01CRU&amp;lang=en_US&amp;offset=0&amp;query=any,contains,991005040489702656","Catalog Record")</f>
        <v/>
      </c>
      <c r="AT775">
        <f>HYPERLINK("http://www.worldcat.org/oclc/57483840","WorldCat Record")</f>
        <v/>
      </c>
      <c r="AU775" t="inlineStr">
        <is>
          <t>797219276:eng</t>
        </is>
      </c>
      <c r="AV775" t="inlineStr">
        <is>
          <t>57483840</t>
        </is>
      </c>
      <c r="AW775" t="inlineStr">
        <is>
          <t>991005040489702656</t>
        </is>
      </c>
      <c r="AX775" t="inlineStr">
        <is>
          <t>991005040489702656</t>
        </is>
      </c>
      <c r="AY775" t="inlineStr">
        <is>
          <t>2255572320002656</t>
        </is>
      </c>
      <c r="AZ775" t="inlineStr">
        <is>
          <t>BOOK</t>
        </is>
      </c>
      <c r="BB775" t="inlineStr">
        <is>
          <t>9783527307814</t>
        </is>
      </c>
      <c r="BC775" t="inlineStr">
        <is>
          <t>32285005279855</t>
        </is>
      </c>
      <c r="BD775" t="inlineStr">
        <is>
          <t>893719686</t>
        </is>
      </c>
    </row>
    <row r="776">
      <c r="A776" t="inlineStr">
        <is>
          <t>No</t>
        </is>
      </c>
      <c r="B776" t="inlineStr">
        <is>
          <t>QD305.N7 R3</t>
        </is>
      </c>
      <c r="C776" t="inlineStr">
        <is>
          <t>0                      QD 0305000N  7                  R  3</t>
        </is>
      </c>
      <c r="D776" t="inlineStr">
        <is>
          <t>The chemistry of the cyano group / edited by Zvi Rappoport.</t>
        </is>
      </c>
      <c r="F776" t="inlineStr">
        <is>
          <t>No</t>
        </is>
      </c>
      <c r="G776" t="inlineStr">
        <is>
          <t>1</t>
        </is>
      </c>
      <c r="H776" t="inlineStr">
        <is>
          <t>No</t>
        </is>
      </c>
      <c r="I776" t="inlineStr">
        <is>
          <t>No</t>
        </is>
      </c>
      <c r="J776" t="inlineStr">
        <is>
          <t>0</t>
        </is>
      </c>
      <c r="K776" t="inlineStr">
        <is>
          <t>Rappoport, Zvi.</t>
        </is>
      </c>
      <c r="L776" t="inlineStr">
        <is>
          <t>London ; New York : Interscience Pub., 1970.</t>
        </is>
      </c>
      <c r="M776" t="inlineStr">
        <is>
          <t>1970</t>
        </is>
      </c>
      <c r="O776" t="inlineStr">
        <is>
          <t>eng</t>
        </is>
      </c>
      <c r="P776" t="inlineStr">
        <is>
          <t>enk</t>
        </is>
      </c>
      <c r="Q776" t="inlineStr">
        <is>
          <t>The Chemistry of functional groups</t>
        </is>
      </c>
      <c r="R776" t="inlineStr">
        <is>
          <t xml:space="preserve">QD </t>
        </is>
      </c>
      <c r="S776" t="n">
        <v>4</v>
      </c>
      <c r="T776" t="n">
        <v>4</v>
      </c>
      <c r="U776" t="inlineStr">
        <is>
          <t>2000-01-27</t>
        </is>
      </c>
      <c r="V776" t="inlineStr">
        <is>
          <t>2000-01-27</t>
        </is>
      </c>
      <c r="W776" t="inlineStr">
        <is>
          <t>1992-05-11</t>
        </is>
      </c>
      <c r="X776" t="inlineStr">
        <is>
          <t>1992-05-11</t>
        </is>
      </c>
      <c r="Y776" t="n">
        <v>508</v>
      </c>
      <c r="Z776" t="n">
        <v>377</v>
      </c>
      <c r="AA776" t="n">
        <v>423</v>
      </c>
      <c r="AB776" t="n">
        <v>5</v>
      </c>
      <c r="AC776" t="n">
        <v>5</v>
      </c>
      <c r="AD776" t="n">
        <v>17</v>
      </c>
      <c r="AE776" t="n">
        <v>17</v>
      </c>
      <c r="AF776" t="n">
        <v>4</v>
      </c>
      <c r="AG776" t="n">
        <v>4</v>
      </c>
      <c r="AH776" t="n">
        <v>5</v>
      </c>
      <c r="AI776" t="n">
        <v>5</v>
      </c>
      <c r="AJ776" t="n">
        <v>9</v>
      </c>
      <c r="AK776" t="n">
        <v>9</v>
      </c>
      <c r="AL776" t="n">
        <v>4</v>
      </c>
      <c r="AM776" t="n">
        <v>4</v>
      </c>
      <c r="AN776" t="n">
        <v>0</v>
      </c>
      <c r="AO776" t="n">
        <v>0</v>
      </c>
      <c r="AP776" t="inlineStr">
        <is>
          <t>No</t>
        </is>
      </c>
      <c r="AQ776" t="inlineStr">
        <is>
          <t>Yes</t>
        </is>
      </c>
      <c r="AR776">
        <f>HYPERLINK("http://catalog.hathitrust.org/Record/001422739","HathiTrust Record")</f>
        <v/>
      </c>
      <c r="AS776">
        <f>HYPERLINK("https://creighton-primo.hosted.exlibrisgroup.com/primo-explore/search?tab=default_tab&amp;search_scope=EVERYTHING&amp;vid=01CRU&amp;lang=en_US&amp;offset=0&amp;query=any,contains,991000777929702656","Catalog Record")</f>
        <v/>
      </c>
      <c r="AT776">
        <f>HYPERLINK("http://www.worldcat.org/oclc/133866","WorldCat Record")</f>
        <v/>
      </c>
      <c r="AU776" t="inlineStr">
        <is>
          <t>355293414:eng</t>
        </is>
      </c>
      <c r="AV776" t="inlineStr">
        <is>
          <t>133866</t>
        </is>
      </c>
      <c r="AW776" t="inlineStr">
        <is>
          <t>991000777929702656</t>
        </is>
      </c>
      <c r="AX776" t="inlineStr">
        <is>
          <t>991000777929702656</t>
        </is>
      </c>
      <c r="AY776" t="inlineStr">
        <is>
          <t>2255704770002656</t>
        </is>
      </c>
      <c r="AZ776" t="inlineStr">
        <is>
          <t>BOOK</t>
        </is>
      </c>
      <c r="BB776" t="inlineStr">
        <is>
          <t>9780471709138</t>
        </is>
      </c>
      <c r="BC776" t="inlineStr">
        <is>
          <t>32285001116697</t>
        </is>
      </c>
      <c r="BD776" t="inlineStr">
        <is>
          <t>893432282</t>
        </is>
      </c>
    </row>
    <row r="777">
      <c r="A777" t="inlineStr">
        <is>
          <t>No</t>
        </is>
      </c>
      <c r="B777" t="inlineStr">
        <is>
          <t>QD31 .G68</t>
        </is>
      </c>
      <c r="C777" t="inlineStr">
        <is>
          <t>0                      QD 0031000G  68</t>
        </is>
      </c>
      <c r="D777" t="inlineStr">
        <is>
          <t>Inorganic reactions and structure.</t>
        </is>
      </c>
      <c r="F777" t="inlineStr">
        <is>
          <t>No</t>
        </is>
      </c>
      <c r="G777" t="inlineStr">
        <is>
          <t>1</t>
        </is>
      </c>
      <c r="H777" t="inlineStr">
        <is>
          <t>No</t>
        </is>
      </c>
      <c r="I777" t="inlineStr">
        <is>
          <t>No</t>
        </is>
      </c>
      <c r="J777" t="inlineStr">
        <is>
          <t>0</t>
        </is>
      </c>
      <c r="K777" t="inlineStr">
        <is>
          <t>Gould, Edwin S.</t>
        </is>
      </c>
      <c r="L777" t="inlineStr">
        <is>
          <t>New York : Holt, [1955]</t>
        </is>
      </c>
      <c r="M777" t="inlineStr">
        <is>
          <t>1955</t>
        </is>
      </c>
      <c r="O777" t="inlineStr">
        <is>
          <t>eng</t>
        </is>
      </c>
      <c r="P777" t="inlineStr">
        <is>
          <t>nyu</t>
        </is>
      </c>
      <c r="R777" t="inlineStr">
        <is>
          <t xml:space="preserve">QD </t>
        </is>
      </c>
      <c r="S777" t="n">
        <v>2</v>
      </c>
      <c r="T777" t="n">
        <v>2</v>
      </c>
      <c r="U777" t="inlineStr">
        <is>
          <t>1994-12-06</t>
        </is>
      </c>
      <c r="V777" t="inlineStr">
        <is>
          <t>1994-12-06</t>
        </is>
      </c>
      <c r="W777" t="inlineStr">
        <is>
          <t>1994-12-01</t>
        </is>
      </c>
      <c r="X777" t="inlineStr">
        <is>
          <t>1994-12-01</t>
        </is>
      </c>
      <c r="Y777" t="n">
        <v>343</v>
      </c>
      <c r="Z777" t="n">
        <v>289</v>
      </c>
      <c r="AA777" t="n">
        <v>653</v>
      </c>
      <c r="AB777" t="n">
        <v>4</v>
      </c>
      <c r="AC777" t="n">
        <v>7</v>
      </c>
      <c r="AD777" t="n">
        <v>12</v>
      </c>
      <c r="AE777" t="n">
        <v>24</v>
      </c>
      <c r="AF777" t="n">
        <v>4</v>
      </c>
      <c r="AG777" t="n">
        <v>10</v>
      </c>
      <c r="AH777" t="n">
        <v>2</v>
      </c>
      <c r="AI777" t="n">
        <v>3</v>
      </c>
      <c r="AJ777" t="n">
        <v>4</v>
      </c>
      <c r="AK777" t="n">
        <v>8</v>
      </c>
      <c r="AL777" t="n">
        <v>3</v>
      </c>
      <c r="AM777" t="n">
        <v>6</v>
      </c>
      <c r="AN777" t="n">
        <v>0</v>
      </c>
      <c r="AO777" t="n">
        <v>0</v>
      </c>
      <c r="AP777" t="inlineStr">
        <is>
          <t>No</t>
        </is>
      </c>
      <c r="AQ777" t="inlineStr">
        <is>
          <t>Yes</t>
        </is>
      </c>
      <c r="AR777">
        <f>HYPERLINK("http://catalog.hathitrust.org/Record/001113548","HathiTrust Record")</f>
        <v/>
      </c>
      <c r="AS777">
        <f>HYPERLINK("https://creighton-primo.hosted.exlibrisgroup.com/primo-explore/search?tab=default_tab&amp;search_scope=EVERYTHING&amp;vid=01CRU&amp;lang=en_US&amp;offset=0&amp;query=any,contains,991002489439702656","Catalog Record")</f>
        <v/>
      </c>
      <c r="AT777">
        <f>HYPERLINK("http://www.worldcat.org/oclc/362111","WorldCat Record")</f>
        <v/>
      </c>
      <c r="AU777" t="inlineStr">
        <is>
          <t>1415958:eng</t>
        </is>
      </c>
      <c r="AV777" t="inlineStr">
        <is>
          <t>362111</t>
        </is>
      </c>
      <c r="AW777" t="inlineStr">
        <is>
          <t>991002489439702656</t>
        </is>
      </c>
      <c r="AX777" t="inlineStr">
        <is>
          <t>991002489439702656</t>
        </is>
      </c>
      <c r="AY777" t="inlineStr">
        <is>
          <t>2261999710002656</t>
        </is>
      </c>
      <c r="AZ777" t="inlineStr">
        <is>
          <t>BOOK</t>
        </is>
      </c>
      <c r="BC777" t="inlineStr">
        <is>
          <t>32285001969293</t>
        </is>
      </c>
      <c r="BD777" t="inlineStr">
        <is>
          <t>893892613</t>
        </is>
      </c>
    </row>
    <row r="778">
      <c r="A778" t="inlineStr">
        <is>
          <t>No</t>
        </is>
      </c>
      <c r="B778" t="inlineStr">
        <is>
          <t>QD31 .H88 1964</t>
        </is>
      </c>
      <c r="C778" t="inlineStr">
        <is>
          <t>0                      QD 0031000H  88          1964</t>
        </is>
      </c>
      <c r="D778" t="inlineStr">
        <is>
          <t>Chemistry : the elements and their reactions / Illustrated by the author.</t>
        </is>
      </c>
      <c r="F778" t="inlineStr">
        <is>
          <t>No</t>
        </is>
      </c>
      <c r="G778" t="inlineStr">
        <is>
          <t>1</t>
        </is>
      </c>
      <c r="H778" t="inlineStr">
        <is>
          <t>No</t>
        </is>
      </c>
      <c r="I778" t="inlineStr">
        <is>
          <t>No</t>
        </is>
      </c>
      <c r="J778" t="inlineStr">
        <is>
          <t>0</t>
        </is>
      </c>
      <c r="K778" t="inlineStr">
        <is>
          <t>Hutchinson, Eric.</t>
        </is>
      </c>
      <c r="L778" t="inlineStr">
        <is>
          <t>Philadelphia : Saunders, 1964.</t>
        </is>
      </c>
      <c r="M778" t="inlineStr">
        <is>
          <t>1964</t>
        </is>
      </c>
      <c r="N778" t="inlineStr">
        <is>
          <t>2d ed.</t>
        </is>
      </c>
      <c r="O778" t="inlineStr">
        <is>
          <t>eng</t>
        </is>
      </c>
      <c r="P778" t="inlineStr">
        <is>
          <t>pau</t>
        </is>
      </c>
      <c r="R778" t="inlineStr">
        <is>
          <t xml:space="preserve">QD </t>
        </is>
      </c>
      <c r="S778" t="n">
        <v>6</v>
      </c>
      <c r="T778" t="n">
        <v>6</v>
      </c>
      <c r="U778" t="inlineStr">
        <is>
          <t>1995-11-13</t>
        </is>
      </c>
      <c r="V778" t="inlineStr">
        <is>
          <t>1995-11-13</t>
        </is>
      </c>
      <c r="W778" t="inlineStr">
        <is>
          <t>1990-02-19</t>
        </is>
      </c>
      <c r="X778" t="inlineStr">
        <is>
          <t>1990-02-19</t>
        </is>
      </c>
      <c r="Y778" t="n">
        <v>182</v>
      </c>
      <c r="Z778" t="n">
        <v>130</v>
      </c>
      <c r="AA778" t="n">
        <v>208</v>
      </c>
      <c r="AB778" t="n">
        <v>2</v>
      </c>
      <c r="AC778" t="n">
        <v>3</v>
      </c>
      <c r="AD778" t="n">
        <v>3</v>
      </c>
      <c r="AE778" t="n">
        <v>7</v>
      </c>
      <c r="AF778" t="n">
        <v>2</v>
      </c>
      <c r="AG778" t="n">
        <v>4</v>
      </c>
      <c r="AH778" t="n">
        <v>0</v>
      </c>
      <c r="AI778" t="n">
        <v>1</v>
      </c>
      <c r="AJ778" t="n">
        <v>0</v>
      </c>
      <c r="AK778" t="n">
        <v>2</v>
      </c>
      <c r="AL778" t="n">
        <v>1</v>
      </c>
      <c r="AM778" t="n">
        <v>2</v>
      </c>
      <c r="AN778" t="n">
        <v>0</v>
      </c>
      <c r="AO778" t="n">
        <v>0</v>
      </c>
      <c r="AP778" t="inlineStr">
        <is>
          <t>No</t>
        </is>
      </c>
      <c r="AQ778" t="inlineStr">
        <is>
          <t>No</t>
        </is>
      </c>
      <c r="AS778">
        <f>HYPERLINK("https://creighton-primo.hosted.exlibrisgroup.com/primo-explore/search?tab=default_tab&amp;search_scope=EVERYTHING&amp;vid=01CRU&amp;lang=en_US&amp;offset=0&amp;query=any,contains,991002949999702656","Catalog Record")</f>
        <v/>
      </c>
      <c r="AT778">
        <f>HYPERLINK("http://www.worldcat.org/oclc/538285","WorldCat Record")</f>
        <v/>
      </c>
      <c r="AU778" t="inlineStr">
        <is>
          <t>1562154:eng</t>
        </is>
      </c>
      <c r="AV778" t="inlineStr">
        <is>
          <t>538285</t>
        </is>
      </c>
      <c r="AW778" t="inlineStr">
        <is>
          <t>991002949999702656</t>
        </is>
      </c>
      <c r="AX778" t="inlineStr">
        <is>
          <t>991002949999702656</t>
        </is>
      </c>
      <c r="AY778" t="inlineStr">
        <is>
          <t>2262394140002656</t>
        </is>
      </c>
      <c r="AZ778" t="inlineStr">
        <is>
          <t>BOOK</t>
        </is>
      </c>
      <c r="BC778" t="inlineStr">
        <is>
          <t>32285000042639</t>
        </is>
      </c>
      <c r="BD778" t="inlineStr">
        <is>
          <t>893717131</t>
        </is>
      </c>
    </row>
    <row r="779">
      <c r="A779" t="inlineStr">
        <is>
          <t>No</t>
        </is>
      </c>
      <c r="B779" t="inlineStr">
        <is>
          <t>QD31 .P36 1964</t>
        </is>
      </c>
      <c r="C779" t="inlineStr">
        <is>
          <t>0                      QD 0031000P  36          1964</t>
        </is>
      </c>
      <c r="D779" t="inlineStr">
        <is>
          <t>College chemistry; an introductory textbook of general chemistry. Illus. by Roger Hayward.</t>
        </is>
      </c>
      <c r="F779" t="inlineStr">
        <is>
          <t>No</t>
        </is>
      </c>
      <c r="G779" t="inlineStr">
        <is>
          <t>1</t>
        </is>
      </c>
      <c r="H779" t="inlineStr">
        <is>
          <t>Yes</t>
        </is>
      </c>
      <c r="I779" t="inlineStr">
        <is>
          <t>No</t>
        </is>
      </c>
      <c r="J779" t="inlineStr">
        <is>
          <t>0</t>
        </is>
      </c>
      <c r="K779" t="inlineStr">
        <is>
          <t>Pauling, Linus, 1901-1994.</t>
        </is>
      </c>
      <c r="L779" t="inlineStr">
        <is>
          <t>San Francisco, W. H. Freeman [c1964]</t>
        </is>
      </c>
      <c r="M779" t="inlineStr">
        <is>
          <t>1964</t>
        </is>
      </c>
      <c r="N779" t="inlineStr">
        <is>
          <t>3d ed.</t>
        </is>
      </c>
      <c r="O779" t="inlineStr">
        <is>
          <t>eng</t>
        </is>
      </c>
      <c r="P779" t="inlineStr">
        <is>
          <t>cau</t>
        </is>
      </c>
      <c r="Q779" t="inlineStr">
        <is>
          <t>A Series of books in chemistry</t>
        </is>
      </c>
      <c r="R779" t="inlineStr">
        <is>
          <t xml:space="preserve">QD </t>
        </is>
      </c>
      <c r="S779" t="n">
        <v>6</v>
      </c>
      <c r="T779" t="n">
        <v>22</v>
      </c>
      <c r="U779" t="inlineStr">
        <is>
          <t>2009-04-30</t>
        </is>
      </c>
      <c r="V779" t="inlineStr">
        <is>
          <t>2009-04-30</t>
        </is>
      </c>
      <c r="W779" t="inlineStr">
        <is>
          <t>1991-09-04</t>
        </is>
      </c>
      <c r="X779" t="inlineStr">
        <is>
          <t>1991-09-04</t>
        </is>
      </c>
      <c r="Y779" t="n">
        <v>571</v>
      </c>
      <c r="Z779" t="n">
        <v>435</v>
      </c>
      <c r="AA779" t="n">
        <v>592</v>
      </c>
      <c r="AB779" t="n">
        <v>5</v>
      </c>
      <c r="AC779" t="n">
        <v>7</v>
      </c>
      <c r="AD779" t="n">
        <v>14</v>
      </c>
      <c r="AE779" t="n">
        <v>20</v>
      </c>
      <c r="AF779" t="n">
        <v>5</v>
      </c>
      <c r="AG779" t="n">
        <v>7</v>
      </c>
      <c r="AH779" t="n">
        <v>1</v>
      </c>
      <c r="AI779" t="n">
        <v>3</v>
      </c>
      <c r="AJ779" t="n">
        <v>6</v>
      </c>
      <c r="AK779" t="n">
        <v>8</v>
      </c>
      <c r="AL779" t="n">
        <v>3</v>
      </c>
      <c r="AM779" t="n">
        <v>4</v>
      </c>
      <c r="AN779" t="n">
        <v>0</v>
      </c>
      <c r="AO779" t="n">
        <v>0</v>
      </c>
      <c r="AP779" t="inlineStr">
        <is>
          <t>No</t>
        </is>
      </c>
      <c r="AQ779" t="inlineStr">
        <is>
          <t>Yes</t>
        </is>
      </c>
      <c r="AR779">
        <f>HYPERLINK("http://catalog.hathitrust.org/Record/001486701","HathiTrust Record")</f>
        <v/>
      </c>
      <c r="AS779">
        <f>HYPERLINK("https://creighton-primo.hosted.exlibrisgroup.com/primo-explore/search?tab=default_tab&amp;search_scope=EVERYTHING&amp;vid=01CRU&amp;lang=en_US&amp;offset=0&amp;query=any,contains,991001768399702656","Catalog Record")</f>
        <v/>
      </c>
      <c r="AT779">
        <f>HYPERLINK("http://www.worldcat.org/oclc/544535","WorldCat Record")</f>
        <v/>
      </c>
      <c r="AU779" t="inlineStr">
        <is>
          <t>816307751:eng</t>
        </is>
      </c>
      <c r="AV779" t="inlineStr">
        <is>
          <t>544535</t>
        </is>
      </c>
      <c r="AW779" t="inlineStr">
        <is>
          <t>991001768399702656</t>
        </is>
      </c>
      <c r="AX779" t="inlineStr">
        <is>
          <t>991001768399702656</t>
        </is>
      </c>
      <c r="AY779" t="inlineStr">
        <is>
          <t>2268074260002656</t>
        </is>
      </c>
      <c r="AZ779" t="inlineStr">
        <is>
          <t>BOOK</t>
        </is>
      </c>
      <c r="BC779" t="inlineStr">
        <is>
          <t>32285000736446</t>
        </is>
      </c>
      <c r="BD779" t="inlineStr">
        <is>
          <t>893522822</t>
        </is>
      </c>
    </row>
    <row r="780">
      <c r="A780" t="inlineStr">
        <is>
          <t>No</t>
        </is>
      </c>
      <c r="B780" t="inlineStr">
        <is>
          <t>QD31.2 .B398</t>
        </is>
      </c>
      <c r="C780" t="inlineStr">
        <is>
          <t>0                      QD 0031200B  398</t>
        </is>
      </c>
      <c r="D780" t="inlineStr">
        <is>
          <t>The elements of style in chemistry : a computer assisted instruction supported text / James W. Beatty, James J. Beatty.</t>
        </is>
      </c>
      <c r="F780" t="inlineStr">
        <is>
          <t>No</t>
        </is>
      </c>
      <c r="G780" t="inlineStr">
        <is>
          <t>1</t>
        </is>
      </c>
      <c r="H780" t="inlineStr">
        <is>
          <t>No</t>
        </is>
      </c>
      <c r="I780" t="inlineStr">
        <is>
          <t>No</t>
        </is>
      </c>
      <c r="J780" t="inlineStr">
        <is>
          <t>0</t>
        </is>
      </c>
      <c r="K780" t="inlineStr">
        <is>
          <t>Beatty, James Wayne, 1934-</t>
        </is>
      </c>
      <c r="L780" t="inlineStr">
        <is>
          <t>Washington, D.C. : University Press of America, c1981.</t>
        </is>
      </c>
      <c r="M780" t="inlineStr">
        <is>
          <t>1981</t>
        </is>
      </c>
      <c r="O780" t="inlineStr">
        <is>
          <t>eng</t>
        </is>
      </c>
      <c r="P780" t="inlineStr">
        <is>
          <t>dcu</t>
        </is>
      </c>
      <c r="R780" t="inlineStr">
        <is>
          <t xml:space="preserve">QD </t>
        </is>
      </c>
      <c r="S780" t="n">
        <v>1</v>
      </c>
      <c r="T780" t="n">
        <v>1</v>
      </c>
      <c r="U780" t="inlineStr">
        <is>
          <t>1992-02-28</t>
        </is>
      </c>
      <c r="V780" t="inlineStr">
        <is>
          <t>1992-02-28</t>
        </is>
      </c>
      <c r="W780" t="inlineStr">
        <is>
          <t>1992-02-28</t>
        </is>
      </c>
      <c r="X780" t="inlineStr">
        <is>
          <t>1992-02-28</t>
        </is>
      </c>
      <c r="Y780" t="n">
        <v>56</v>
      </c>
      <c r="Z780" t="n">
        <v>50</v>
      </c>
      <c r="AA780" t="n">
        <v>50</v>
      </c>
      <c r="AB780" t="n">
        <v>1</v>
      </c>
      <c r="AC780" t="n">
        <v>1</v>
      </c>
      <c r="AD780" t="n">
        <v>0</v>
      </c>
      <c r="AE780" t="n">
        <v>0</v>
      </c>
      <c r="AF780" t="n">
        <v>0</v>
      </c>
      <c r="AG780" t="n">
        <v>0</v>
      </c>
      <c r="AH780" t="n">
        <v>0</v>
      </c>
      <c r="AI780" t="n">
        <v>0</v>
      </c>
      <c r="AJ780" t="n">
        <v>0</v>
      </c>
      <c r="AK780" t="n">
        <v>0</v>
      </c>
      <c r="AL780" t="n">
        <v>0</v>
      </c>
      <c r="AM780" t="n">
        <v>0</v>
      </c>
      <c r="AN780" t="n">
        <v>0</v>
      </c>
      <c r="AO780" t="n">
        <v>0</v>
      </c>
      <c r="AP780" t="inlineStr">
        <is>
          <t>No</t>
        </is>
      </c>
      <c r="AQ780" t="inlineStr">
        <is>
          <t>No</t>
        </is>
      </c>
      <c r="AS780">
        <f>HYPERLINK("https://creighton-primo.hosted.exlibrisgroup.com/primo-explore/search?tab=default_tab&amp;search_scope=EVERYTHING&amp;vid=01CRU&amp;lang=en_US&amp;offset=0&amp;query=any,contains,991005177399702656","Catalog Record")</f>
        <v/>
      </c>
      <c r="AT780">
        <f>HYPERLINK("http://www.worldcat.org/oclc/7924766","WorldCat Record")</f>
        <v/>
      </c>
      <c r="AU780" t="inlineStr">
        <is>
          <t>30290325:eng</t>
        </is>
      </c>
      <c r="AV780" t="inlineStr">
        <is>
          <t>7924766</t>
        </is>
      </c>
      <c r="AW780" t="inlineStr">
        <is>
          <t>991005177399702656</t>
        </is>
      </c>
      <c r="AX780" t="inlineStr">
        <is>
          <t>991005177399702656</t>
        </is>
      </c>
      <c r="AY780" t="inlineStr">
        <is>
          <t>2270736090002656</t>
        </is>
      </c>
      <c r="AZ780" t="inlineStr">
        <is>
          <t>BOOK</t>
        </is>
      </c>
      <c r="BB780" t="inlineStr">
        <is>
          <t>9780819119414</t>
        </is>
      </c>
      <c r="BC780" t="inlineStr">
        <is>
          <t>32285000938679</t>
        </is>
      </c>
      <c r="BD780" t="inlineStr">
        <is>
          <t>893594605</t>
        </is>
      </c>
    </row>
    <row r="781">
      <c r="A781" t="inlineStr">
        <is>
          <t>No</t>
        </is>
      </c>
      <c r="B781" t="inlineStr">
        <is>
          <t>QD31.2 .C4313</t>
        </is>
      </c>
      <c r="C781" t="inlineStr">
        <is>
          <t>0                      QD 0031200C  4313</t>
        </is>
      </c>
      <c r="D781" t="inlineStr">
        <is>
          <t>Chemistry of the environment / R. A. Bailey ... [et al.].</t>
        </is>
      </c>
      <c r="F781" t="inlineStr">
        <is>
          <t>No</t>
        </is>
      </c>
      <c r="G781" t="inlineStr">
        <is>
          <t>1</t>
        </is>
      </c>
      <c r="H781" t="inlineStr">
        <is>
          <t>No</t>
        </is>
      </c>
      <c r="I781" t="inlineStr">
        <is>
          <t>No</t>
        </is>
      </c>
      <c r="J781" t="inlineStr">
        <is>
          <t>0</t>
        </is>
      </c>
      <c r="L781" t="inlineStr">
        <is>
          <t>New York : Academic Press, 1978.</t>
        </is>
      </c>
      <c r="M781" t="inlineStr">
        <is>
          <t>1978</t>
        </is>
      </c>
      <c r="O781" t="inlineStr">
        <is>
          <t>eng</t>
        </is>
      </c>
      <c r="P781" t="inlineStr">
        <is>
          <t>nyu</t>
        </is>
      </c>
      <c r="R781" t="inlineStr">
        <is>
          <t xml:space="preserve">QD </t>
        </is>
      </c>
      <c r="S781" t="n">
        <v>2</v>
      </c>
      <c r="T781" t="n">
        <v>2</v>
      </c>
      <c r="U781" t="inlineStr">
        <is>
          <t>2005-09-16</t>
        </is>
      </c>
      <c r="V781" t="inlineStr">
        <is>
          <t>2005-09-16</t>
        </is>
      </c>
      <c r="W781" t="inlineStr">
        <is>
          <t>1993-01-14</t>
        </is>
      </c>
      <c r="X781" t="inlineStr">
        <is>
          <t>1993-01-14</t>
        </is>
      </c>
      <c r="Y781" t="n">
        <v>552</v>
      </c>
      <c r="Z781" t="n">
        <v>407</v>
      </c>
      <c r="AA781" t="n">
        <v>851</v>
      </c>
      <c r="AB781" t="n">
        <v>3</v>
      </c>
      <c r="AC781" t="n">
        <v>8</v>
      </c>
      <c r="AD781" t="n">
        <v>13</v>
      </c>
      <c r="AE781" t="n">
        <v>34</v>
      </c>
      <c r="AF781" t="n">
        <v>6</v>
      </c>
      <c r="AG781" t="n">
        <v>12</v>
      </c>
      <c r="AH781" t="n">
        <v>3</v>
      </c>
      <c r="AI781" t="n">
        <v>8</v>
      </c>
      <c r="AJ781" t="n">
        <v>5</v>
      </c>
      <c r="AK781" t="n">
        <v>11</v>
      </c>
      <c r="AL781" t="n">
        <v>2</v>
      </c>
      <c r="AM781" t="n">
        <v>7</v>
      </c>
      <c r="AN781" t="n">
        <v>0</v>
      </c>
      <c r="AO781" t="n">
        <v>1</v>
      </c>
      <c r="AP781" t="inlineStr">
        <is>
          <t>No</t>
        </is>
      </c>
      <c r="AQ781" t="inlineStr">
        <is>
          <t>Yes</t>
        </is>
      </c>
      <c r="AR781">
        <f>HYPERLINK("http://catalog.hathitrust.org/Record/000024827","HathiTrust Record")</f>
        <v/>
      </c>
      <c r="AS781">
        <f>HYPERLINK("https://creighton-primo.hosted.exlibrisgroup.com/primo-explore/search?tab=default_tab&amp;search_scope=EVERYTHING&amp;vid=01CRU&amp;lang=en_US&amp;offset=0&amp;query=any,contains,991004663419702656","Catalog Record")</f>
        <v/>
      </c>
      <c r="AT781">
        <f>HYPERLINK("http://www.worldcat.org/oclc/4498817","WorldCat Record")</f>
        <v/>
      </c>
      <c r="AU781" t="inlineStr">
        <is>
          <t>943519958:eng</t>
        </is>
      </c>
      <c r="AV781" t="inlineStr">
        <is>
          <t>4498817</t>
        </is>
      </c>
      <c r="AW781" t="inlineStr">
        <is>
          <t>991004663419702656</t>
        </is>
      </c>
      <c r="AX781" t="inlineStr">
        <is>
          <t>991004663419702656</t>
        </is>
      </c>
      <c r="AY781" t="inlineStr">
        <is>
          <t>2262946460002656</t>
        </is>
      </c>
      <c r="AZ781" t="inlineStr">
        <is>
          <t>BOOK</t>
        </is>
      </c>
      <c r="BB781" t="inlineStr">
        <is>
          <t>9780120730506</t>
        </is>
      </c>
      <c r="BC781" t="inlineStr">
        <is>
          <t>32285001399558</t>
        </is>
      </c>
      <c r="BD781" t="inlineStr">
        <is>
          <t>893536143</t>
        </is>
      </c>
    </row>
    <row r="782">
      <c r="A782" t="inlineStr">
        <is>
          <t>No</t>
        </is>
      </c>
      <c r="B782" t="inlineStr">
        <is>
          <t>QD31.2 .H36</t>
        </is>
      </c>
      <c r="C782" t="inlineStr">
        <is>
          <t>0                      QD 0031200H  36</t>
        </is>
      </c>
      <c r="D782" t="inlineStr">
        <is>
          <t>Introduction to chemistry / [by] Warren Hankins [and] Marie Hankins. With 196 illus., including 81 original drawings by Robert R. Wiethop.</t>
        </is>
      </c>
      <c r="F782" t="inlineStr">
        <is>
          <t>No</t>
        </is>
      </c>
      <c r="G782" t="inlineStr">
        <is>
          <t>1</t>
        </is>
      </c>
      <c r="H782" t="inlineStr">
        <is>
          <t>No</t>
        </is>
      </c>
      <c r="I782" t="inlineStr">
        <is>
          <t>No</t>
        </is>
      </c>
      <c r="J782" t="inlineStr">
        <is>
          <t>0</t>
        </is>
      </c>
      <c r="K782" t="inlineStr">
        <is>
          <t>Hankins, Warren, 1938-</t>
        </is>
      </c>
      <c r="L782" t="inlineStr">
        <is>
          <t>Saint Louis : C. V. Mosby Co., 1974.</t>
        </is>
      </c>
      <c r="M782" t="inlineStr">
        <is>
          <t>1974</t>
        </is>
      </c>
      <c r="O782" t="inlineStr">
        <is>
          <t>eng</t>
        </is>
      </c>
      <c r="P782" t="inlineStr">
        <is>
          <t>mou</t>
        </is>
      </c>
      <c r="R782" t="inlineStr">
        <is>
          <t xml:space="preserve">QD </t>
        </is>
      </c>
      <c r="S782" t="n">
        <v>5</v>
      </c>
      <c r="T782" t="n">
        <v>5</v>
      </c>
      <c r="U782" t="inlineStr">
        <is>
          <t>2005-06-13</t>
        </is>
      </c>
      <c r="V782" t="inlineStr">
        <is>
          <t>2005-06-13</t>
        </is>
      </c>
      <c r="W782" t="inlineStr">
        <is>
          <t>1992-03-17</t>
        </is>
      </c>
      <c r="X782" t="inlineStr">
        <is>
          <t>1992-03-17</t>
        </is>
      </c>
      <c r="Y782" t="n">
        <v>101</v>
      </c>
      <c r="Z782" t="n">
        <v>69</v>
      </c>
      <c r="AA782" t="n">
        <v>69</v>
      </c>
      <c r="AB782" t="n">
        <v>1</v>
      </c>
      <c r="AC782" t="n">
        <v>1</v>
      </c>
      <c r="AD782" t="n">
        <v>3</v>
      </c>
      <c r="AE782" t="n">
        <v>3</v>
      </c>
      <c r="AF782" t="n">
        <v>2</v>
      </c>
      <c r="AG782" t="n">
        <v>2</v>
      </c>
      <c r="AH782" t="n">
        <v>0</v>
      </c>
      <c r="AI782" t="n">
        <v>0</v>
      </c>
      <c r="AJ782" t="n">
        <v>2</v>
      </c>
      <c r="AK782" t="n">
        <v>2</v>
      </c>
      <c r="AL782" t="n">
        <v>0</v>
      </c>
      <c r="AM782" t="n">
        <v>0</v>
      </c>
      <c r="AN782" t="n">
        <v>0</v>
      </c>
      <c r="AO782" t="n">
        <v>0</v>
      </c>
      <c r="AP782" t="inlineStr">
        <is>
          <t>No</t>
        </is>
      </c>
      <c r="AQ782" t="inlineStr">
        <is>
          <t>No</t>
        </is>
      </c>
      <c r="AS782">
        <f>HYPERLINK("https://creighton-primo.hosted.exlibrisgroup.com/primo-explore/search?tab=default_tab&amp;search_scope=EVERYTHING&amp;vid=01CRU&amp;lang=en_US&amp;offset=0&amp;query=any,contains,991003080639702656","Catalog Record")</f>
        <v/>
      </c>
      <c r="AT782">
        <f>HYPERLINK("http://www.worldcat.org/oclc/632479","WorldCat Record")</f>
        <v/>
      </c>
      <c r="AU782" t="inlineStr">
        <is>
          <t>3769397690:eng</t>
        </is>
      </c>
      <c r="AV782" t="inlineStr">
        <is>
          <t>632479</t>
        </is>
      </c>
      <c r="AW782" t="inlineStr">
        <is>
          <t>991003080639702656</t>
        </is>
      </c>
      <c r="AX782" t="inlineStr">
        <is>
          <t>991003080639702656</t>
        </is>
      </c>
      <c r="AY782" t="inlineStr">
        <is>
          <t>2263844870002656</t>
        </is>
      </c>
      <c r="AZ782" t="inlineStr">
        <is>
          <t>BOOK</t>
        </is>
      </c>
      <c r="BB782" t="inlineStr">
        <is>
          <t>9780801620416</t>
        </is>
      </c>
      <c r="BC782" t="inlineStr">
        <is>
          <t>32285001022036</t>
        </is>
      </c>
      <c r="BD782" t="inlineStr">
        <is>
          <t>893692377</t>
        </is>
      </c>
    </row>
    <row r="783">
      <c r="A783" t="inlineStr">
        <is>
          <t>No</t>
        </is>
      </c>
      <c r="B783" t="inlineStr">
        <is>
          <t>QD31.2 .H58 2001</t>
        </is>
      </c>
      <c r="C783" t="inlineStr">
        <is>
          <t>0                      QD 0031200H  58          2001</t>
        </is>
      </c>
      <c r="D783" t="inlineStr">
        <is>
          <t>Basic training in chemistry / Steven L. Hoenig.</t>
        </is>
      </c>
      <c r="F783" t="inlineStr">
        <is>
          <t>No</t>
        </is>
      </c>
      <c r="G783" t="inlineStr">
        <is>
          <t>1</t>
        </is>
      </c>
      <c r="H783" t="inlineStr">
        <is>
          <t>No</t>
        </is>
      </c>
      <c r="I783" t="inlineStr">
        <is>
          <t>No</t>
        </is>
      </c>
      <c r="J783" t="inlineStr">
        <is>
          <t>0</t>
        </is>
      </c>
      <c r="K783" t="inlineStr">
        <is>
          <t>Hoenig, Steven L., 1957-</t>
        </is>
      </c>
      <c r="L783" t="inlineStr">
        <is>
          <t>New York : Kluwer Academic/Plenum Publishers, c2001.</t>
        </is>
      </c>
      <c r="M783" t="inlineStr">
        <is>
          <t>2001</t>
        </is>
      </c>
      <c r="O783" t="inlineStr">
        <is>
          <t>eng</t>
        </is>
      </c>
      <c r="P783" t="inlineStr">
        <is>
          <t>nyu</t>
        </is>
      </c>
      <c r="R783" t="inlineStr">
        <is>
          <t xml:space="preserve">QD </t>
        </is>
      </c>
      <c r="S783" t="n">
        <v>6</v>
      </c>
      <c r="T783" t="n">
        <v>6</v>
      </c>
      <c r="U783" t="inlineStr">
        <is>
          <t>2009-09-16</t>
        </is>
      </c>
      <c r="V783" t="inlineStr">
        <is>
          <t>2009-09-16</t>
        </is>
      </c>
      <c r="W783" t="inlineStr">
        <is>
          <t>2002-04-11</t>
        </is>
      </c>
      <c r="X783" t="inlineStr">
        <is>
          <t>2002-04-11</t>
        </is>
      </c>
      <c r="Y783" t="n">
        <v>191</v>
      </c>
      <c r="Z783" t="n">
        <v>152</v>
      </c>
      <c r="AA783" t="n">
        <v>967</v>
      </c>
      <c r="AB783" t="n">
        <v>1</v>
      </c>
      <c r="AC783" t="n">
        <v>27</v>
      </c>
      <c r="AD783" t="n">
        <v>7</v>
      </c>
      <c r="AE783" t="n">
        <v>32</v>
      </c>
      <c r="AF783" t="n">
        <v>4</v>
      </c>
      <c r="AG783" t="n">
        <v>11</v>
      </c>
      <c r="AH783" t="n">
        <v>0</v>
      </c>
      <c r="AI783" t="n">
        <v>5</v>
      </c>
      <c r="AJ783" t="n">
        <v>4</v>
      </c>
      <c r="AK783" t="n">
        <v>11</v>
      </c>
      <c r="AL783" t="n">
        <v>0</v>
      </c>
      <c r="AM783" t="n">
        <v>12</v>
      </c>
      <c r="AN783" t="n">
        <v>0</v>
      </c>
      <c r="AO783" t="n">
        <v>0</v>
      </c>
      <c r="AP783" t="inlineStr">
        <is>
          <t>No</t>
        </is>
      </c>
      <c r="AQ783" t="inlineStr">
        <is>
          <t>No</t>
        </is>
      </c>
      <c r="AS783">
        <f>HYPERLINK("https://creighton-primo.hosted.exlibrisgroup.com/primo-explore/search?tab=default_tab&amp;search_scope=EVERYTHING&amp;vid=01CRU&amp;lang=en_US&amp;offset=0&amp;query=any,contains,991003751169702656","Catalog Record")</f>
        <v/>
      </c>
      <c r="AT783">
        <f>HYPERLINK("http://www.worldcat.org/oclc/45463480","WorldCat Record")</f>
        <v/>
      </c>
      <c r="AU783" t="inlineStr">
        <is>
          <t>998330:eng</t>
        </is>
      </c>
      <c r="AV783" t="inlineStr">
        <is>
          <t>45463480</t>
        </is>
      </c>
      <c r="AW783" t="inlineStr">
        <is>
          <t>991003751169702656</t>
        </is>
      </c>
      <c r="AX783" t="inlineStr">
        <is>
          <t>991003751169702656</t>
        </is>
      </c>
      <c r="AY783" t="inlineStr">
        <is>
          <t>2254918090002656</t>
        </is>
      </c>
      <c r="AZ783" t="inlineStr">
        <is>
          <t>BOOK</t>
        </is>
      </c>
      <c r="BB783" t="inlineStr">
        <is>
          <t>9780306465468</t>
        </is>
      </c>
      <c r="BC783" t="inlineStr">
        <is>
          <t>32285004479365</t>
        </is>
      </c>
      <c r="BD783" t="inlineStr">
        <is>
          <t>893781343</t>
        </is>
      </c>
    </row>
    <row r="784">
      <c r="A784" t="inlineStr">
        <is>
          <t>No</t>
        </is>
      </c>
      <c r="B784" t="inlineStr">
        <is>
          <t>QD31.2 .H64</t>
        </is>
      </c>
      <c r="C784" t="inlineStr">
        <is>
          <t>0                      QD 0031200H  64</t>
        </is>
      </c>
      <c r="D784" t="inlineStr">
        <is>
          <t>The chemistry of our environment / R. A. Horne. --</t>
        </is>
      </c>
      <c r="F784" t="inlineStr">
        <is>
          <t>No</t>
        </is>
      </c>
      <c r="G784" t="inlineStr">
        <is>
          <t>1</t>
        </is>
      </c>
      <c r="H784" t="inlineStr">
        <is>
          <t>No</t>
        </is>
      </c>
      <c r="I784" t="inlineStr">
        <is>
          <t>No</t>
        </is>
      </c>
      <c r="J784" t="inlineStr">
        <is>
          <t>0</t>
        </is>
      </c>
      <c r="K784" t="inlineStr">
        <is>
          <t>Horne, Ralph Albert, 1929-2013.</t>
        </is>
      </c>
      <c r="L784" t="inlineStr">
        <is>
          <t>New York : Wiley, c1978.</t>
        </is>
      </c>
      <c r="M784" t="inlineStr">
        <is>
          <t>1978</t>
        </is>
      </c>
      <c r="O784" t="inlineStr">
        <is>
          <t>eng</t>
        </is>
      </c>
      <c r="P784" t="inlineStr">
        <is>
          <t>nyu</t>
        </is>
      </c>
      <c r="R784" t="inlineStr">
        <is>
          <t xml:space="preserve">QD </t>
        </is>
      </c>
      <c r="S784" t="n">
        <v>4</v>
      </c>
      <c r="T784" t="n">
        <v>4</v>
      </c>
      <c r="U784" t="inlineStr">
        <is>
          <t>1995-04-22</t>
        </is>
      </c>
      <c r="V784" t="inlineStr">
        <is>
          <t>1995-04-22</t>
        </is>
      </c>
      <c r="W784" t="inlineStr">
        <is>
          <t>1993-01-14</t>
        </is>
      </c>
      <c r="X784" t="inlineStr">
        <is>
          <t>1993-01-14</t>
        </is>
      </c>
      <c r="Y784" t="n">
        <v>726</v>
      </c>
      <c r="Z784" t="n">
        <v>578</v>
      </c>
      <c r="AA784" t="n">
        <v>580</v>
      </c>
      <c r="AB784" t="n">
        <v>5</v>
      </c>
      <c r="AC784" t="n">
        <v>5</v>
      </c>
      <c r="AD784" t="n">
        <v>22</v>
      </c>
      <c r="AE784" t="n">
        <v>22</v>
      </c>
      <c r="AF784" t="n">
        <v>9</v>
      </c>
      <c r="AG784" t="n">
        <v>9</v>
      </c>
      <c r="AH784" t="n">
        <v>4</v>
      </c>
      <c r="AI784" t="n">
        <v>4</v>
      </c>
      <c r="AJ784" t="n">
        <v>10</v>
      </c>
      <c r="AK784" t="n">
        <v>10</v>
      </c>
      <c r="AL784" t="n">
        <v>3</v>
      </c>
      <c r="AM784" t="n">
        <v>3</v>
      </c>
      <c r="AN784" t="n">
        <v>0</v>
      </c>
      <c r="AO784" t="n">
        <v>0</v>
      </c>
      <c r="AP784" t="inlineStr">
        <is>
          <t>No</t>
        </is>
      </c>
      <c r="AQ784" t="inlineStr">
        <is>
          <t>Yes</t>
        </is>
      </c>
      <c r="AR784">
        <f>HYPERLINK("http://catalog.hathitrust.org/Record/000173300","HathiTrust Record")</f>
        <v/>
      </c>
      <c r="AS784">
        <f>HYPERLINK("https://creighton-primo.hosted.exlibrisgroup.com/primo-explore/search?tab=default_tab&amp;search_scope=EVERYTHING&amp;vid=01CRU&amp;lang=en_US&amp;offset=0&amp;query=any,contains,991004245139702656","Catalog Record")</f>
        <v/>
      </c>
      <c r="AT784">
        <f>HYPERLINK("http://www.worldcat.org/oclc/2798143","WorldCat Record")</f>
        <v/>
      </c>
      <c r="AU784" t="inlineStr">
        <is>
          <t>489940:eng</t>
        </is>
      </c>
      <c r="AV784" t="inlineStr">
        <is>
          <t>2798143</t>
        </is>
      </c>
      <c r="AW784" t="inlineStr">
        <is>
          <t>991004245139702656</t>
        </is>
      </c>
      <c r="AX784" t="inlineStr">
        <is>
          <t>991004245139702656</t>
        </is>
      </c>
      <c r="AY784" t="inlineStr">
        <is>
          <t>2272754930002656</t>
        </is>
      </c>
      <c r="AZ784" t="inlineStr">
        <is>
          <t>BOOK</t>
        </is>
      </c>
      <c r="BB784" t="inlineStr">
        <is>
          <t>9780471409441</t>
        </is>
      </c>
      <c r="BC784" t="inlineStr">
        <is>
          <t>32285001399566</t>
        </is>
      </c>
      <c r="BD784" t="inlineStr">
        <is>
          <t>893411288</t>
        </is>
      </c>
    </row>
    <row r="785">
      <c r="A785" t="inlineStr">
        <is>
          <t>No</t>
        </is>
      </c>
      <c r="B785" t="inlineStr">
        <is>
          <t>QD31.2 .I572 1991</t>
        </is>
      </c>
      <c r="C785" t="inlineStr">
        <is>
          <t>0                      QD 0031200I  572         1991</t>
        </is>
      </c>
      <c r="D785" t="inlineStr">
        <is>
          <t>Introductory chemistry for the environmental sciences / Roy M. Harrison ... [et al.].</t>
        </is>
      </c>
      <c r="F785" t="inlineStr">
        <is>
          <t>No</t>
        </is>
      </c>
      <c r="G785" t="inlineStr">
        <is>
          <t>1</t>
        </is>
      </c>
      <c r="H785" t="inlineStr">
        <is>
          <t>No</t>
        </is>
      </c>
      <c r="I785" t="inlineStr">
        <is>
          <t>No</t>
        </is>
      </c>
      <c r="J785" t="inlineStr">
        <is>
          <t>0</t>
        </is>
      </c>
      <c r="L785" t="inlineStr">
        <is>
          <t>Cambridge ; New York : Cambridge University Press, 1991.</t>
        </is>
      </c>
      <c r="M785" t="inlineStr">
        <is>
          <t>1991</t>
        </is>
      </c>
      <c r="O785" t="inlineStr">
        <is>
          <t>eng</t>
        </is>
      </c>
      <c r="P785" t="inlineStr">
        <is>
          <t>enk</t>
        </is>
      </c>
      <c r="Q785" t="inlineStr">
        <is>
          <t>Cambridge environmental chemistry series</t>
        </is>
      </c>
      <c r="R785" t="inlineStr">
        <is>
          <t xml:space="preserve">QD </t>
        </is>
      </c>
      <c r="S785" t="n">
        <v>1</v>
      </c>
      <c r="T785" t="n">
        <v>1</v>
      </c>
      <c r="U785" t="inlineStr">
        <is>
          <t>1992-04-29</t>
        </is>
      </c>
      <c r="V785" t="inlineStr">
        <is>
          <t>1992-04-29</t>
        </is>
      </c>
      <c r="W785" t="inlineStr">
        <is>
          <t>1991-12-15</t>
        </is>
      </c>
      <c r="X785" t="inlineStr">
        <is>
          <t>1991-12-15</t>
        </is>
      </c>
      <c r="Y785" t="n">
        <v>504</v>
      </c>
      <c r="Z785" t="n">
        <v>378</v>
      </c>
      <c r="AA785" t="n">
        <v>379</v>
      </c>
      <c r="AB785" t="n">
        <v>5</v>
      </c>
      <c r="AC785" t="n">
        <v>5</v>
      </c>
      <c r="AD785" t="n">
        <v>22</v>
      </c>
      <c r="AE785" t="n">
        <v>22</v>
      </c>
      <c r="AF785" t="n">
        <v>14</v>
      </c>
      <c r="AG785" t="n">
        <v>14</v>
      </c>
      <c r="AH785" t="n">
        <v>4</v>
      </c>
      <c r="AI785" t="n">
        <v>4</v>
      </c>
      <c r="AJ785" t="n">
        <v>5</v>
      </c>
      <c r="AK785" t="n">
        <v>5</v>
      </c>
      <c r="AL785" t="n">
        <v>4</v>
      </c>
      <c r="AM785" t="n">
        <v>4</v>
      </c>
      <c r="AN785" t="n">
        <v>0</v>
      </c>
      <c r="AO785" t="n">
        <v>0</v>
      </c>
      <c r="AP785" t="inlineStr">
        <is>
          <t>No</t>
        </is>
      </c>
      <c r="AQ785" t="inlineStr">
        <is>
          <t>No</t>
        </is>
      </c>
      <c r="AS785">
        <f>HYPERLINK("https://creighton-primo.hosted.exlibrisgroup.com/primo-explore/search?tab=default_tab&amp;search_scope=EVERYTHING&amp;vid=01CRU&amp;lang=en_US&amp;offset=0&amp;query=any,contains,991001736199702656","Catalog Record")</f>
        <v/>
      </c>
      <c r="AT785">
        <f>HYPERLINK("http://www.worldcat.org/oclc/21972297","WorldCat Record")</f>
        <v/>
      </c>
      <c r="AU785" t="inlineStr">
        <is>
          <t>5090726904:eng</t>
        </is>
      </c>
      <c r="AV785" t="inlineStr">
        <is>
          <t>21972297</t>
        </is>
      </c>
      <c r="AW785" t="inlineStr">
        <is>
          <t>991001736199702656</t>
        </is>
      </c>
      <c r="AX785" t="inlineStr">
        <is>
          <t>991001736199702656</t>
        </is>
      </c>
      <c r="AY785" t="inlineStr">
        <is>
          <t>2268411130002656</t>
        </is>
      </c>
      <c r="AZ785" t="inlineStr">
        <is>
          <t>BOOK</t>
        </is>
      </c>
      <c r="BB785" t="inlineStr">
        <is>
          <t>9780521276399</t>
        </is>
      </c>
      <c r="BC785" t="inlineStr">
        <is>
          <t>32285000860626</t>
        </is>
      </c>
      <c r="BD785" t="inlineStr">
        <is>
          <t>893503635</t>
        </is>
      </c>
    </row>
    <row r="786">
      <c r="A786" t="inlineStr">
        <is>
          <t>No</t>
        </is>
      </c>
      <c r="B786" t="inlineStr">
        <is>
          <t>QD31.2 .M38 1973</t>
        </is>
      </c>
      <c r="C786" t="inlineStr">
        <is>
          <t>0                      QD 0031200M  38          1973</t>
        </is>
      </c>
      <c r="D786" t="inlineStr">
        <is>
          <t>Chemical principles / [by] William L. Masterton [and] Emil J. Slowinski. Illustrated by Alexis Kelner.</t>
        </is>
      </c>
      <c r="F786" t="inlineStr">
        <is>
          <t>No</t>
        </is>
      </c>
      <c r="G786" t="inlineStr">
        <is>
          <t>1</t>
        </is>
      </c>
      <c r="H786" t="inlineStr">
        <is>
          <t>No</t>
        </is>
      </c>
      <c r="I786" t="inlineStr">
        <is>
          <t>No</t>
        </is>
      </c>
      <c r="J786" t="inlineStr">
        <is>
          <t>0</t>
        </is>
      </c>
      <c r="K786" t="inlineStr">
        <is>
          <t>Masterton, William L., 1927-</t>
        </is>
      </c>
      <c r="L786" t="inlineStr">
        <is>
          <t>Philadelphia : Saunders, 1973.</t>
        </is>
      </c>
      <c r="M786" t="inlineStr">
        <is>
          <t>1973</t>
        </is>
      </c>
      <c r="N786" t="inlineStr">
        <is>
          <t>3d ed.</t>
        </is>
      </c>
      <c r="O786" t="inlineStr">
        <is>
          <t>eng</t>
        </is>
      </c>
      <c r="P786" t="inlineStr">
        <is>
          <t>pau</t>
        </is>
      </c>
      <c r="Q786" t="inlineStr">
        <is>
          <t>Saunders golden series</t>
        </is>
      </c>
      <c r="R786" t="inlineStr">
        <is>
          <t xml:space="preserve">QD </t>
        </is>
      </c>
      <c r="S786" t="n">
        <v>14</v>
      </c>
      <c r="T786" t="n">
        <v>14</v>
      </c>
      <c r="U786" t="inlineStr">
        <is>
          <t>2002-04-17</t>
        </is>
      </c>
      <c r="V786" t="inlineStr">
        <is>
          <t>2002-04-17</t>
        </is>
      </c>
      <c r="W786" t="inlineStr">
        <is>
          <t>1991-09-26</t>
        </is>
      </c>
      <c r="X786" t="inlineStr">
        <is>
          <t>1991-09-26</t>
        </is>
      </c>
      <c r="Y786" t="n">
        <v>221</v>
      </c>
      <c r="Z786" t="n">
        <v>162</v>
      </c>
      <c r="AA786" t="n">
        <v>658</v>
      </c>
      <c r="AB786" t="n">
        <v>3</v>
      </c>
      <c r="AC786" t="n">
        <v>6</v>
      </c>
      <c r="AD786" t="n">
        <v>2</v>
      </c>
      <c r="AE786" t="n">
        <v>16</v>
      </c>
      <c r="AF786" t="n">
        <v>0</v>
      </c>
      <c r="AG786" t="n">
        <v>7</v>
      </c>
      <c r="AH786" t="n">
        <v>0</v>
      </c>
      <c r="AI786" t="n">
        <v>2</v>
      </c>
      <c r="AJ786" t="n">
        <v>2</v>
      </c>
      <c r="AK786" t="n">
        <v>10</v>
      </c>
      <c r="AL786" t="n">
        <v>0</v>
      </c>
      <c r="AM786" t="n">
        <v>2</v>
      </c>
      <c r="AN786" t="n">
        <v>0</v>
      </c>
      <c r="AO786" t="n">
        <v>0</v>
      </c>
      <c r="AP786" t="inlineStr">
        <is>
          <t>No</t>
        </is>
      </c>
      <c r="AQ786" t="inlineStr">
        <is>
          <t>No</t>
        </is>
      </c>
      <c r="AS786">
        <f>HYPERLINK("https://creighton-primo.hosted.exlibrisgroup.com/primo-explore/search?tab=default_tab&amp;search_scope=EVERYTHING&amp;vid=01CRU&amp;lang=en_US&amp;offset=0&amp;query=any,contains,991003038569702656","Catalog Record")</f>
        <v/>
      </c>
      <c r="AT786">
        <f>HYPERLINK("http://www.worldcat.org/oclc/600371","WorldCat Record")</f>
        <v/>
      </c>
      <c r="AU786" t="inlineStr">
        <is>
          <t>1127545:eng</t>
        </is>
      </c>
      <c r="AV786" t="inlineStr">
        <is>
          <t>600371</t>
        </is>
      </c>
      <c r="AW786" t="inlineStr">
        <is>
          <t>991003038569702656</t>
        </is>
      </c>
      <c r="AX786" t="inlineStr">
        <is>
          <t>991003038569702656</t>
        </is>
      </c>
      <c r="AY786" t="inlineStr">
        <is>
          <t>2261138270002656</t>
        </is>
      </c>
      <c r="AZ786" t="inlineStr">
        <is>
          <t>BOOK</t>
        </is>
      </c>
      <c r="BB786" t="inlineStr">
        <is>
          <t>9780721661728</t>
        </is>
      </c>
      <c r="BC786" t="inlineStr">
        <is>
          <t>32285000760883</t>
        </is>
      </c>
      <c r="BD786" t="inlineStr">
        <is>
          <t>893251956</t>
        </is>
      </c>
    </row>
    <row r="787">
      <c r="A787" t="inlineStr">
        <is>
          <t>No</t>
        </is>
      </c>
      <c r="B787" t="inlineStr">
        <is>
          <t>QD31.2 .N4613 1983, pt...</t>
        </is>
      </c>
      <c r="C787" t="inlineStr">
        <is>
          <t>0                      QD 0031200N  4613        1983                                        pt...</t>
        </is>
      </c>
      <c r="D787" t="inlineStr">
        <is>
          <t>Chemistry made easy : a programmed course for self-instruction / J. Nentwig, M. Kreuder, K. Morgenstern.</t>
        </is>
      </c>
      <c r="E787" t="inlineStr">
        <is>
          <t>pt...*</t>
        </is>
      </c>
      <c r="F787" t="inlineStr">
        <is>
          <t>No</t>
        </is>
      </c>
      <c r="G787" t="inlineStr">
        <is>
          <t>1</t>
        </is>
      </c>
      <c r="H787" t="inlineStr">
        <is>
          <t>No</t>
        </is>
      </c>
      <c r="I787" t="inlineStr">
        <is>
          <t>No</t>
        </is>
      </c>
      <c r="J787" t="inlineStr">
        <is>
          <t>0</t>
        </is>
      </c>
      <c r="K787" t="inlineStr">
        <is>
          <t>Nentwig, J. (Joachim)</t>
        </is>
      </c>
      <c r="L787" t="inlineStr">
        <is>
          <t>Weinheim [Germany] ; Deerfield Beach, Fld. : Verlag Chemie, 1983-</t>
        </is>
      </c>
      <c r="M787" t="inlineStr">
        <is>
          <t>1983</t>
        </is>
      </c>
      <c r="O787" t="inlineStr">
        <is>
          <t>eng</t>
        </is>
      </c>
      <c r="P787" t="inlineStr">
        <is>
          <t xml:space="preserve">gw </t>
        </is>
      </c>
      <c r="R787" t="inlineStr">
        <is>
          <t xml:space="preserve">QD </t>
        </is>
      </c>
      <c r="S787" t="n">
        <v>44</v>
      </c>
      <c r="T787" t="n">
        <v>44</v>
      </c>
      <c r="U787" t="inlineStr">
        <is>
          <t>2004-08-05</t>
        </is>
      </c>
      <c r="V787" t="inlineStr">
        <is>
          <t>2004-08-05</t>
        </is>
      </c>
      <c r="W787" t="inlineStr">
        <is>
          <t>1992-03-30</t>
        </is>
      </c>
      <c r="X787" t="inlineStr">
        <is>
          <t>1992-03-30</t>
        </is>
      </c>
      <c r="Y787" t="n">
        <v>125</v>
      </c>
      <c r="Z787" t="n">
        <v>89</v>
      </c>
      <c r="AA787" t="n">
        <v>110</v>
      </c>
      <c r="AB787" t="n">
        <v>2</v>
      </c>
      <c r="AC787" t="n">
        <v>2</v>
      </c>
      <c r="AD787" t="n">
        <v>4</v>
      </c>
      <c r="AE787" t="n">
        <v>4</v>
      </c>
      <c r="AF787" t="n">
        <v>0</v>
      </c>
      <c r="AG787" t="n">
        <v>0</v>
      </c>
      <c r="AH787" t="n">
        <v>1</v>
      </c>
      <c r="AI787" t="n">
        <v>1</v>
      </c>
      <c r="AJ787" t="n">
        <v>2</v>
      </c>
      <c r="AK787" t="n">
        <v>2</v>
      </c>
      <c r="AL787" t="n">
        <v>1</v>
      </c>
      <c r="AM787" t="n">
        <v>1</v>
      </c>
      <c r="AN787" t="n">
        <v>0</v>
      </c>
      <c r="AO787" t="n">
        <v>0</v>
      </c>
      <c r="AP787" t="inlineStr">
        <is>
          <t>No</t>
        </is>
      </c>
      <c r="AQ787" t="inlineStr">
        <is>
          <t>Yes</t>
        </is>
      </c>
      <c r="AR787">
        <f>HYPERLINK("http://catalog.hathitrust.org/Record/007063116","HathiTrust Record")</f>
        <v/>
      </c>
      <c r="AS787">
        <f>HYPERLINK("https://creighton-primo.hosted.exlibrisgroup.com/primo-explore/search?tab=default_tab&amp;search_scope=EVERYTHING&amp;vid=01CRU&amp;lang=en_US&amp;offset=0&amp;query=any,contains,991000359769702656","Catalog Record")</f>
        <v/>
      </c>
      <c r="AT787">
        <f>HYPERLINK("http://www.worldcat.org/oclc/10351578","WorldCat Record")</f>
        <v/>
      </c>
      <c r="AU787" t="inlineStr">
        <is>
          <t>10227464264:eng</t>
        </is>
      </c>
      <c r="AV787" t="inlineStr">
        <is>
          <t>10351578</t>
        </is>
      </c>
      <c r="AW787" t="inlineStr">
        <is>
          <t>991000359769702656</t>
        </is>
      </c>
      <c r="AX787" t="inlineStr">
        <is>
          <t>991000359769702656</t>
        </is>
      </c>
      <c r="AY787" t="inlineStr">
        <is>
          <t>2256751690002656</t>
        </is>
      </c>
      <c r="AZ787" t="inlineStr">
        <is>
          <t>BOOK</t>
        </is>
      </c>
      <c r="BB787" t="inlineStr">
        <is>
          <t>9783527259328</t>
        </is>
      </c>
      <c r="BC787" t="inlineStr">
        <is>
          <t>32285001030120</t>
        </is>
      </c>
      <c r="BD787" t="inlineStr">
        <is>
          <t>893255356</t>
        </is>
      </c>
    </row>
    <row r="788">
      <c r="A788" t="inlineStr">
        <is>
          <t>No</t>
        </is>
      </c>
      <c r="B788" t="inlineStr">
        <is>
          <t>QD31.2 .P38 1975</t>
        </is>
      </c>
      <c r="C788" t="inlineStr">
        <is>
          <t>0                      QD 0031200P  38          1975</t>
        </is>
      </c>
      <c r="D788" t="inlineStr">
        <is>
          <t>Chemistry / Linus Pauling, Peter Pauling.</t>
        </is>
      </c>
      <c r="F788" t="inlineStr">
        <is>
          <t>No</t>
        </is>
      </c>
      <c r="G788" t="inlineStr">
        <is>
          <t>1</t>
        </is>
      </c>
      <c r="H788" t="inlineStr">
        <is>
          <t>No</t>
        </is>
      </c>
      <c r="I788" t="inlineStr">
        <is>
          <t>No</t>
        </is>
      </c>
      <c r="J788" t="inlineStr">
        <is>
          <t>0</t>
        </is>
      </c>
      <c r="K788" t="inlineStr">
        <is>
          <t>Pauling, Linus, 1901-1994.</t>
        </is>
      </c>
      <c r="L788" t="inlineStr">
        <is>
          <t>San Francisco : W. H. Freeman, [1975]</t>
        </is>
      </c>
      <c r="M788" t="inlineStr">
        <is>
          <t>1975</t>
        </is>
      </c>
      <c r="O788" t="inlineStr">
        <is>
          <t>eng</t>
        </is>
      </c>
      <c r="P788" t="inlineStr">
        <is>
          <t>cau</t>
        </is>
      </c>
      <c r="Q788" t="inlineStr">
        <is>
          <t>A Series of books in chemistry</t>
        </is>
      </c>
      <c r="R788" t="inlineStr">
        <is>
          <t xml:space="preserve">QD </t>
        </is>
      </c>
      <c r="S788" t="n">
        <v>16</v>
      </c>
      <c r="T788" t="n">
        <v>16</v>
      </c>
      <c r="U788" t="inlineStr">
        <is>
          <t>1997-09-10</t>
        </is>
      </c>
      <c r="V788" t="inlineStr">
        <is>
          <t>1997-09-10</t>
        </is>
      </c>
      <c r="W788" t="inlineStr">
        <is>
          <t>1991-02-19</t>
        </is>
      </c>
      <c r="X788" t="inlineStr">
        <is>
          <t>1991-02-19</t>
        </is>
      </c>
      <c r="Y788" t="n">
        <v>616</v>
      </c>
      <c r="Z788" t="n">
        <v>483</v>
      </c>
      <c r="AA788" t="n">
        <v>489</v>
      </c>
      <c r="AB788" t="n">
        <v>4</v>
      </c>
      <c r="AC788" t="n">
        <v>4</v>
      </c>
      <c r="AD788" t="n">
        <v>17</v>
      </c>
      <c r="AE788" t="n">
        <v>17</v>
      </c>
      <c r="AF788" t="n">
        <v>8</v>
      </c>
      <c r="AG788" t="n">
        <v>8</v>
      </c>
      <c r="AH788" t="n">
        <v>3</v>
      </c>
      <c r="AI788" t="n">
        <v>3</v>
      </c>
      <c r="AJ788" t="n">
        <v>8</v>
      </c>
      <c r="AK788" t="n">
        <v>8</v>
      </c>
      <c r="AL788" t="n">
        <v>3</v>
      </c>
      <c r="AM788" t="n">
        <v>3</v>
      </c>
      <c r="AN788" t="n">
        <v>0</v>
      </c>
      <c r="AO788" t="n">
        <v>0</v>
      </c>
      <c r="AP788" t="inlineStr">
        <is>
          <t>No</t>
        </is>
      </c>
      <c r="AQ788" t="inlineStr">
        <is>
          <t>No</t>
        </is>
      </c>
      <c r="AS788">
        <f>HYPERLINK("https://creighton-primo.hosted.exlibrisgroup.com/primo-explore/search?tab=default_tab&amp;search_scope=EVERYTHING&amp;vid=01CRU&amp;lang=en_US&amp;offset=0&amp;query=any,contains,991003681559702656","Catalog Record")</f>
        <v/>
      </c>
      <c r="AT788">
        <f>HYPERLINK("http://www.worldcat.org/oclc/1307272","WorldCat Record")</f>
        <v/>
      </c>
      <c r="AU788" t="inlineStr">
        <is>
          <t>9566424013:eng</t>
        </is>
      </c>
      <c r="AV788" t="inlineStr">
        <is>
          <t>1307272</t>
        </is>
      </c>
      <c r="AW788" t="inlineStr">
        <is>
          <t>991003681559702656</t>
        </is>
      </c>
      <c r="AX788" t="inlineStr">
        <is>
          <t>991003681559702656</t>
        </is>
      </c>
      <c r="AY788" t="inlineStr">
        <is>
          <t>2262567730002656</t>
        </is>
      </c>
      <c r="AZ788" t="inlineStr">
        <is>
          <t>BOOK</t>
        </is>
      </c>
      <c r="BB788" t="inlineStr">
        <is>
          <t>9780716701767</t>
        </is>
      </c>
      <c r="BC788" t="inlineStr">
        <is>
          <t>32285000497841</t>
        </is>
      </c>
      <c r="BD788" t="inlineStr">
        <is>
          <t>893781270</t>
        </is>
      </c>
    </row>
    <row r="789">
      <c r="A789" t="inlineStr">
        <is>
          <t>No</t>
        </is>
      </c>
      <c r="B789" t="inlineStr">
        <is>
          <t>QD31.2 .R86 1974</t>
        </is>
      </c>
      <c r="C789" t="inlineStr">
        <is>
          <t>0                      QD 0031200R  86          1974</t>
        </is>
      </c>
      <c r="D789" t="inlineStr">
        <is>
          <t>Chemical principles : an introductory programmed text / O. A. Runquist, C. J. Creswell, J. T. Head.</t>
        </is>
      </c>
      <c r="F789" t="inlineStr">
        <is>
          <t>No</t>
        </is>
      </c>
      <c r="G789" t="inlineStr">
        <is>
          <t>1</t>
        </is>
      </c>
      <c r="H789" t="inlineStr">
        <is>
          <t>No</t>
        </is>
      </c>
      <c r="I789" t="inlineStr">
        <is>
          <t>No</t>
        </is>
      </c>
      <c r="J789" t="inlineStr">
        <is>
          <t>0</t>
        </is>
      </c>
      <c r="K789" t="inlineStr">
        <is>
          <t>Runquist, Olaf Allan.</t>
        </is>
      </c>
      <c r="L789" t="inlineStr">
        <is>
          <t>Minneapolis, Minn. : Burgess Pub. Co., [1974]</t>
        </is>
      </c>
      <c r="M789" t="inlineStr">
        <is>
          <t>1974</t>
        </is>
      </c>
      <c r="N789" t="inlineStr">
        <is>
          <t>2d ed.</t>
        </is>
      </c>
      <c r="O789" t="inlineStr">
        <is>
          <t>eng</t>
        </is>
      </c>
      <c r="P789" t="inlineStr">
        <is>
          <t>mnu</t>
        </is>
      </c>
      <c r="R789" t="inlineStr">
        <is>
          <t xml:space="preserve">QD </t>
        </is>
      </c>
      <c r="S789" t="n">
        <v>7</v>
      </c>
      <c r="T789" t="n">
        <v>7</v>
      </c>
      <c r="U789" t="inlineStr">
        <is>
          <t>2010-10-06</t>
        </is>
      </c>
      <c r="V789" t="inlineStr">
        <is>
          <t>2010-10-06</t>
        </is>
      </c>
      <c r="W789" t="inlineStr">
        <is>
          <t>1991-12-17</t>
        </is>
      </c>
      <c r="X789" t="inlineStr">
        <is>
          <t>1991-12-17</t>
        </is>
      </c>
      <c r="Y789" t="n">
        <v>95</v>
      </c>
      <c r="Z789" t="n">
        <v>74</v>
      </c>
      <c r="AA789" t="n">
        <v>167</v>
      </c>
      <c r="AB789" t="n">
        <v>1</v>
      </c>
      <c r="AC789" t="n">
        <v>2</v>
      </c>
      <c r="AD789" t="n">
        <v>3</v>
      </c>
      <c r="AE789" t="n">
        <v>5</v>
      </c>
      <c r="AF789" t="n">
        <v>1</v>
      </c>
      <c r="AG789" t="n">
        <v>2</v>
      </c>
      <c r="AH789" t="n">
        <v>0</v>
      </c>
      <c r="AI789" t="n">
        <v>0</v>
      </c>
      <c r="AJ789" t="n">
        <v>3</v>
      </c>
      <c r="AK789" t="n">
        <v>3</v>
      </c>
      <c r="AL789" t="n">
        <v>0</v>
      </c>
      <c r="AM789" t="n">
        <v>1</v>
      </c>
      <c r="AN789" t="n">
        <v>0</v>
      </c>
      <c r="AO789" t="n">
        <v>0</v>
      </c>
      <c r="AP789" t="inlineStr">
        <is>
          <t>No</t>
        </is>
      </c>
      <c r="AQ789" t="inlineStr">
        <is>
          <t>Yes</t>
        </is>
      </c>
      <c r="AR789">
        <f>HYPERLINK("http://catalog.hathitrust.org/Record/007044381","HathiTrust Record")</f>
        <v/>
      </c>
      <c r="AS789">
        <f>HYPERLINK("https://creighton-primo.hosted.exlibrisgroup.com/primo-explore/search?tab=default_tab&amp;search_scope=EVERYTHING&amp;vid=01CRU&amp;lang=en_US&amp;offset=0&amp;query=any,contains,991003733039702656","Catalog Record")</f>
        <v/>
      </c>
      <c r="AT789">
        <f>HYPERLINK("http://www.worldcat.org/oclc/1385370","WorldCat Record")</f>
        <v/>
      </c>
      <c r="AU789" t="inlineStr">
        <is>
          <t>287509336:eng</t>
        </is>
      </c>
      <c r="AV789" t="inlineStr">
        <is>
          <t>1385370</t>
        </is>
      </c>
      <c r="AW789" t="inlineStr">
        <is>
          <t>991003733039702656</t>
        </is>
      </c>
      <c r="AX789" t="inlineStr">
        <is>
          <t>991003733039702656</t>
        </is>
      </c>
      <c r="AY789" t="inlineStr">
        <is>
          <t>2260909490002656</t>
        </is>
      </c>
      <c r="AZ789" t="inlineStr">
        <is>
          <t>BOOK</t>
        </is>
      </c>
      <c r="BB789" t="inlineStr">
        <is>
          <t>9780808718390</t>
        </is>
      </c>
      <c r="BC789" t="inlineStr">
        <is>
          <t>32285000901511</t>
        </is>
      </c>
      <c r="BD789" t="inlineStr">
        <is>
          <t>893699342</t>
        </is>
      </c>
    </row>
    <row r="790">
      <c r="A790" t="inlineStr">
        <is>
          <t>No</t>
        </is>
      </c>
      <c r="B790" t="inlineStr">
        <is>
          <t>QD31.2 .W5 1988</t>
        </is>
      </c>
      <c r="C790" t="inlineStr">
        <is>
          <t>0                      QD 0031200W  5           1988</t>
        </is>
      </c>
      <c r="D790" t="inlineStr">
        <is>
          <t>Chemistry today 1 / R.L. Whitman, E.E. Zinck, R.A. Nalepa.</t>
        </is>
      </c>
      <c r="F790" t="inlineStr">
        <is>
          <t>No</t>
        </is>
      </c>
      <c r="G790" t="inlineStr">
        <is>
          <t>1</t>
        </is>
      </c>
      <c r="H790" t="inlineStr">
        <is>
          <t>No</t>
        </is>
      </c>
      <c r="I790" t="inlineStr">
        <is>
          <t>No</t>
        </is>
      </c>
      <c r="J790" t="inlineStr">
        <is>
          <t>0</t>
        </is>
      </c>
      <c r="K790" t="inlineStr">
        <is>
          <t>Whitman, R. L. (Ronald L.), 1944-</t>
        </is>
      </c>
      <c r="L790" t="inlineStr">
        <is>
          <t>Scarborough, Ont. : Prentice-Hall Canada, 1988.</t>
        </is>
      </c>
      <c r="M790" t="inlineStr">
        <is>
          <t>1988</t>
        </is>
      </c>
      <c r="N790" t="inlineStr">
        <is>
          <t>3rd ed.</t>
        </is>
      </c>
      <c r="O790" t="inlineStr">
        <is>
          <t>eng</t>
        </is>
      </c>
      <c r="P790" t="inlineStr">
        <is>
          <t>onc</t>
        </is>
      </c>
      <c r="R790" t="inlineStr">
        <is>
          <t xml:space="preserve">QD </t>
        </is>
      </c>
      <c r="S790" t="n">
        <v>10</v>
      </c>
      <c r="T790" t="n">
        <v>10</v>
      </c>
      <c r="U790" t="inlineStr">
        <is>
          <t>2003-09-09</t>
        </is>
      </c>
      <c r="V790" t="inlineStr">
        <is>
          <t>2003-09-09</t>
        </is>
      </c>
      <c r="W790" t="inlineStr">
        <is>
          <t>1997-09-16</t>
        </is>
      </c>
      <c r="X790" t="inlineStr">
        <is>
          <t>1997-09-16</t>
        </is>
      </c>
      <c r="Y790" t="n">
        <v>23</v>
      </c>
      <c r="Z790" t="n">
        <v>3</v>
      </c>
      <c r="AA790" t="n">
        <v>4</v>
      </c>
      <c r="AB790" t="n">
        <v>1</v>
      </c>
      <c r="AC790" t="n">
        <v>1</v>
      </c>
      <c r="AD790" t="n">
        <v>0</v>
      </c>
      <c r="AE790" t="n">
        <v>0</v>
      </c>
      <c r="AF790" t="n">
        <v>0</v>
      </c>
      <c r="AG790" t="n">
        <v>0</v>
      </c>
      <c r="AH790" t="n">
        <v>0</v>
      </c>
      <c r="AI790" t="n">
        <v>0</v>
      </c>
      <c r="AJ790" t="n">
        <v>0</v>
      </c>
      <c r="AK790" t="n">
        <v>0</v>
      </c>
      <c r="AL790" t="n">
        <v>0</v>
      </c>
      <c r="AM790" t="n">
        <v>0</v>
      </c>
      <c r="AN790" t="n">
        <v>0</v>
      </c>
      <c r="AO790" t="n">
        <v>0</v>
      </c>
      <c r="AP790" t="inlineStr">
        <is>
          <t>No</t>
        </is>
      </c>
      <c r="AQ790" t="inlineStr">
        <is>
          <t>No</t>
        </is>
      </c>
      <c r="AS790">
        <f>HYPERLINK("https://creighton-primo.hosted.exlibrisgroup.com/primo-explore/search?tab=default_tab&amp;search_scope=EVERYTHING&amp;vid=01CRU&amp;lang=en_US&amp;offset=0&amp;query=any,contains,991001260959702656","Catalog Record")</f>
        <v/>
      </c>
      <c r="AT790">
        <f>HYPERLINK("http://www.worldcat.org/oclc/17767680","WorldCat Record")</f>
        <v/>
      </c>
      <c r="AU790" t="inlineStr">
        <is>
          <t>2863957083:eng</t>
        </is>
      </c>
      <c r="AV790" t="inlineStr">
        <is>
          <t>17767680</t>
        </is>
      </c>
      <c r="AW790" t="inlineStr">
        <is>
          <t>991001260959702656</t>
        </is>
      </c>
      <c r="AX790" t="inlineStr">
        <is>
          <t>991001260959702656</t>
        </is>
      </c>
      <c r="AY790" t="inlineStr">
        <is>
          <t>2256909430002656</t>
        </is>
      </c>
      <c r="AZ790" t="inlineStr">
        <is>
          <t>BOOK</t>
        </is>
      </c>
      <c r="BB790" t="inlineStr">
        <is>
          <t>9780131293069</t>
        </is>
      </c>
      <c r="BC790" t="inlineStr">
        <is>
          <t>32285001401925</t>
        </is>
      </c>
      <c r="BD790" t="inlineStr">
        <is>
          <t>893891438</t>
        </is>
      </c>
    </row>
    <row r="791">
      <c r="A791" t="inlineStr">
        <is>
          <t>No</t>
        </is>
      </c>
      <c r="B791" t="inlineStr">
        <is>
          <t>QD31.3 .B66 2007</t>
        </is>
      </c>
      <c r="C791" t="inlineStr">
        <is>
          <t>0                      QD 0031300B  66          2007</t>
        </is>
      </c>
      <c r="D791" t="inlineStr">
        <is>
          <t>College chemistry / Steven [sic?] R. Boone, Drew Wolfe ; contributing editor, Christopher L. Exstrom.</t>
        </is>
      </c>
      <c r="F791" t="inlineStr">
        <is>
          <t>No</t>
        </is>
      </c>
      <c r="G791" t="inlineStr">
        <is>
          <t>1</t>
        </is>
      </c>
      <c r="H791" t="inlineStr">
        <is>
          <t>No</t>
        </is>
      </c>
      <c r="I791" t="inlineStr">
        <is>
          <t>No</t>
        </is>
      </c>
      <c r="J791" t="inlineStr">
        <is>
          <t>0</t>
        </is>
      </c>
      <c r="K791" t="inlineStr">
        <is>
          <t>Boone, Steven R.</t>
        </is>
      </c>
      <c r="L791" t="inlineStr">
        <is>
          <t>New York : Collins, c2007.</t>
        </is>
      </c>
      <c r="M791" t="inlineStr">
        <is>
          <t>2007</t>
        </is>
      </c>
      <c r="N791" t="inlineStr">
        <is>
          <t>2nd ed.</t>
        </is>
      </c>
      <c r="O791" t="inlineStr">
        <is>
          <t>eng</t>
        </is>
      </c>
      <c r="P791" t="inlineStr">
        <is>
          <t>nyu</t>
        </is>
      </c>
      <c r="Q791" t="inlineStr">
        <is>
          <t>Collins college outlines</t>
        </is>
      </c>
      <c r="R791" t="inlineStr">
        <is>
          <t xml:space="preserve">QD </t>
        </is>
      </c>
      <c r="S791" t="n">
        <v>9</v>
      </c>
      <c r="T791" t="n">
        <v>9</v>
      </c>
      <c r="U791" t="inlineStr">
        <is>
          <t>2010-11-28</t>
        </is>
      </c>
      <c r="V791" t="inlineStr">
        <is>
          <t>2010-11-28</t>
        </is>
      </c>
      <c r="W791" t="inlineStr">
        <is>
          <t>2007-10-29</t>
        </is>
      </c>
      <c r="X791" t="inlineStr">
        <is>
          <t>2007-10-29</t>
        </is>
      </c>
      <c r="Y791" t="n">
        <v>98</v>
      </c>
      <c r="Z791" t="n">
        <v>85</v>
      </c>
      <c r="AA791" t="n">
        <v>99</v>
      </c>
      <c r="AB791" t="n">
        <v>1</v>
      </c>
      <c r="AC791" t="n">
        <v>1</v>
      </c>
      <c r="AD791" t="n">
        <v>0</v>
      </c>
      <c r="AE791" t="n">
        <v>0</v>
      </c>
      <c r="AF791" t="n">
        <v>0</v>
      </c>
      <c r="AG791" t="n">
        <v>0</v>
      </c>
      <c r="AH791" t="n">
        <v>0</v>
      </c>
      <c r="AI791" t="n">
        <v>0</v>
      </c>
      <c r="AJ791" t="n">
        <v>0</v>
      </c>
      <c r="AK791" t="n">
        <v>0</v>
      </c>
      <c r="AL791" t="n">
        <v>0</v>
      </c>
      <c r="AM791" t="n">
        <v>0</v>
      </c>
      <c r="AN791" t="n">
        <v>0</v>
      </c>
      <c r="AO791" t="n">
        <v>0</v>
      </c>
      <c r="AP791" t="inlineStr">
        <is>
          <t>No</t>
        </is>
      </c>
      <c r="AQ791" t="inlineStr">
        <is>
          <t>No</t>
        </is>
      </c>
      <c r="AS791">
        <f>HYPERLINK("https://creighton-primo.hosted.exlibrisgroup.com/primo-explore/search?tab=default_tab&amp;search_scope=EVERYTHING&amp;vid=01CRU&amp;lang=en_US&amp;offset=0&amp;query=any,contains,991005125529702656","Catalog Record")</f>
        <v/>
      </c>
      <c r="AT791">
        <f>HYPERLINK("http://www.worldcat.org/oclc/123968928","WorldCat Record")</f>
        <v/>
      </c>
      <c r="AU791" t="inlineStr">
        <is>
          <t>3901143701:eng</t>
        </is>
      </c>
      <c r="AV791" t="inlineStr">
        <is>
          <t>123968928</t>
        </is>
      </c>
      <c r="AW791" t="inlineStr">
        <is>
          <t>991005125529702656</t>
        </is>
      </c>
      <c r="AX791" t="inlineStr">
        <is>
          <t>991005125529702656</t>
        </is>
      </c>
      <c r="AY791" t="inlineStr">
        <is>
          <t>2255796890002656</t>
        </is>
      </c>
      <c r="AZ791" t="inlineStr">
        <is>
          <t>BOOK</t>
        </is>
      </c>
      <c r="BB791" t="inlineStr">
        <is>
          <t>9780060881474</t>
        </is>
      </c>
      <c r="BC791" t="inlineStr">
        <is>
          <t>32285005362081</t>
        </is>
      </c>
      <c r="BD791" t="inlineStr">
        <is>
          <t>893870557</t>
        </is>
      </c>
    </row>
    <row r="792">
      <c r="A792" t="inlineStr">
        <is>
          <t>No</t>
        </is>
      </c>
      <c r="B792" t="inlineStr">
        <is>
          <t>QD321 .D395 2002</t>
        </is>
      </c>
      <c r="C792" t="inlineStr">
        <is>
          <t>0                      QD 0321000D  395         2002</t>
        </is>
      </c>
      <c r="D792" t="inlineStr">
        <is>
          <t>Carbohydrate chemistry / Benjamin G. Davis, Antony J. Fairbanks.</t>
        </is>
      </c>
      <c r="F792" t="inlineStr">
        <is>
          <t>No</t>
        </is>
      </c>
      <c r="G792" t="inlineStr">
        <is>
          <t>1</t>
        </is>
      </c>
      <c r="H792" t="inlineStr">
        <is>
          <t>No</t>
        </is>
      </c>
      <c r="I792" t="inlineStr">
        <is>
          <t>No</t>
        </is>
      </c>
      <c r="J792" t="inlineStr">
        <is>
          <t>0</t>
        </is>
      </c>
      <c r="K792" t="inlineStr">
        <is>
          <t>Davis, Benjamin G., Dr.</t>
        </is>
      </c>
      <c r="L792" t="inlineStr">
        <is>
          <t>Oxford ; New York : Oxford University Press, 2002.</t>
        </is>
      </c>
      <c r="M792" t="inlineStr">
        <is>
          <t>2002</t>
        </is>
      </c>
      <c r="O792" t="inlineStr">
        <is>
          <t>eng</t>
        </is>
      </c>
      <c r="P792" t="inlineStr">
        <is>
          <t>enk</t>
        </is>
      </c>
      <c r="Q792" t="inlineStr">
        <is>
          <t>Oxford chemistry primers ; 99</t>
        </is>
      </c>
      <c r="R792" t="inlineStr">
        <is>
          <t xml:space="preserve">QD </t>
        </is>
      </c>
      <c r="S792" t="n">
        <v>1</v>
      </c>
      <c r="T792" t="n">
        <v>1</v>
      </c>
      <c r="U792" t="inlineStr">
        <is>
          <t>2005-02-23</t>
        </is>
      </c>
      <c r="V792" t="inlineStr">
        <is>
          <t>2005-02-23</t>
        </is>
      </c>
      <c r="W792" t="inlineStr">
        <is>
          <t>2005-02-23</t>
        </is>
      </c>
      <c r="X792" t="inlineStr">
        <is>
          <t>2005-02-23</t>
        </is>
      </c>
      <c r="Y792" t="n">
        <v>300</v>
      </c>
      <c r="Z792" t="n">
        <v>172</v>
      </c>
      <c r="AA792" t="n">
        <v>174</v>
      </c>
      <c r="AB792" t="n">
        <v>1</v>
      </c>
      <c r="AC792" t="n">
        <v>1</v>
      </c>
      <c r="AD792" t="n">
        <v>5</v>
      </c>
      <c r="AE792" t="n">
        <v>5</v>
      </c>
      <c r="AF792" t="n">
        <v>1</v>
      </c>
      <c r="AG792" t="n">
        <v>1</v>
      </c>
      <c r="AH792" t="n">
        <v>3</v>
      </c>
      <c r="AI792" t="n">
        <v>3</v>
      </c>
      <c r="AJ792" t="n">
        <v>4</v>
      </c>
      <c r="AK792" t="n">
        <v>4</v>
      </c>
      <c r="AL792" t="n">
        <v>0</v>
      </c>
      <c r="AM792" t="n">
        <v>0</v>
      </c>
      <c r="AN792" t="n">
        <v>0</v>
      </c>
      <c r="AO792" t="n">
        <v>0</v>
      </c>
      <c r="AP792" t="inlineStr">
        <is>
          <t>No</t>
        </is>
      </c>
      <c r="AQ792" t="inlineStr">
        <is>
          <t>No</t>
        </is>
      </c>
      <c r="AS792">
        <f>HYPERLINK("https://creighton-primo.hosted.exlibrisgroup.com/primo-explore/search?tab=default_tab&amp;search_scope=EVERYTHING&amp;vid=01CRU&amp;lang=en_US&amp;offset=0&amp;query=any,contains,991004469579702656","Catalog Record")</f>
        <v/>
      </c>
      <c r="AT792">
        <f>HYPERLINK("http://www.worldcat.org/oclc/50017634","WorldCat Record")</f>
        <v/>
      </c>
      <c r="AU792" t="inlineStr">
        <is>
          <t>144866143:eng</t>
        </is>
      </c>
      <c r="AV792" t="inlineStr">
        <is>
          <t>50017634</t>
        </is>
      </c>
      <c r="AW792" t="inlineStr">
        <is>
          <t>991004469579702656</t>
        </is>
      </c>
      <c r="AX792" t="inlineStr">
        <is>
          <t>991004469579702656</t>
        </is>
      </c>
      <c r="AY792" t="inlineStr">
        <is>
          <t>2269803670002656</t>
        </is>
      </c>
      <c r="AZ792" t="inlineStr">
        <is>
          <t>BOOK</t>
        </is>
      </c>
      <c r="BB792" t="inlineStr">
        <is>
          <t>9780198558330</t>
        </is>
      </c>
      <c r="BC792" t="inlineStr">
        <is>
          <t>32285005027247</t>
        </is>
      </c>
      <c r="BD792" t="inlineStr">
        <is>
          <t>893331618</t>
        </is>
      </c>
    </row>
    <row r="793">
      <c r="A793" t="inlineStr">
        <is>
          <t>No</t>
        </is>
      </c>
      <c r="B793" t="inlineStr">
        <is>
          <t>QD321 .S84 2001</t>
        </is>
      </c>
      <c r="C793" t="inlineStr">
        <is>
          <t>0                      QD 0321000S  84          2001</t>
        </is>
      </c>
      <c r="D793" t="inlineStr">
        <is>
          <t>Carbohydrates : the sweet molecules of life / Robert V. Stick.</t>
        </is>
      </c>
      <c r="F793" t="inlineStr">
        <is>
          <t>No</t>
        </is>
      </c>
      <c r="G793" t="inlineStr">
        <is>
          <t>1</t>
        </is>
      </c>
      <c r="H793" t="inlineStr">
        <is>
          <t>No</t>
        </is>
      </c>
      <c r="I793" t="inlineStr">
        <is>
          <t>No</t>
        </is>
      </c>
      <c r="J793" t="inlineStr">
        <is>
          <t>0</t>
        </is>
      </c>
      <c r="K793" t="inlineStr">
        <is>
          <t>Stick, Robert V.</t>
        </is>
      </c>
      <c r="L793" t="inlineStr">
        <is>
          <t>San Diego, Calif. ; London : Academic, c2001.</t>
        </is>
      </c>
      <c r="M793" t="inlineStr">
        <is>
          <t>2001</t>
        </is>
      </c>
      <c r="O793" t="inlineStr">
        <is>
          <t>eng</t>
        </is>
      </c>
      <c r="P793" t="inlineStr">
        <is>
          <t>enk</t>
        </is>
      </c>
      <c r="R793" t="inlineStr">
        <is>
          <t xml:space="preserve">QD </t>
        </is>
      </c>
      <c r="S793" t="n">
        <v>2</v>
      </c>
      <c r="T793" t="n">
        <v>2</v>
      </c>
      <c r="U793" t="inlineStr">
        <is>
          <t>2002-02-14</t>
        </is>
      </c>
      <c r="V793" t="inlineStr">
        <is>
          <t>2002-02-14</t>
        </is>
      </c>
      <c r="W793" t="inlineStr">
        <is>
          <t>2002-02-14</t>
        </is>
      </c>
      <c r="X793" t="inlineStr">
        <is>
          <t>2002-02-14</t>
        </is>
      </c>
      <c r="Y793" t="n">
        <v>509</v>
      </c>
      <c r="Z793" t="n">
        <v>405</v>
      </c>
      <c r="AA793" t="n">
        <v>439</v>
      </c>
      <c r="AB793" t="n">
        <v>3</v>
      </c>
      <c r="AC793" t="n">
        <v>4</v>
      </c>
      <c r="AD793" t="n">
        <v>22</v>
      </c>
      <c r="AE793" t="n">
        <v>24</v>
      </c>
      <c r="AF793" t="n">
        <v>11</v>
      </c>
      <c r="AG793" t="n">
        <v>11</v>
      </c>
      <c r="AH793" t="n">
        <v>4</v>
      </c>
      <c r="AI793" t="n">
        <v>5</v>
      </c>
      <c r="AJ793" t="n">
        <v>9</v>
      </c>
      <c r="AK793" t="n">
        <v>9</v>
      </c>
      <c r="AL793" t="n">
        <v>2</v>
      </c>
      <c r="AM793" t="n">
        <v>3</v>
      </c>
      <c r="AN793" t="n">
        <v>0</v>
      </c>
      <c r="AO793" t="n">
        <v>0</v>
      </c>
      <c r="AP793" t="inlineStr">
        <is>
          <t>No</t>
        </is>
      </c>
      <c r="AQ793" t="inlineStr">
        <is>
          <t>No</t>
        </is>
      </c>
      <c r="AS793">
        <f>HYPERLINK("https://creighton-primo.hosted.exlibrisgroup.com/primo-explore/search?tab=default_tab&amp;search_scope=EVERYTHING&amp;vid=01CRU&amp;lang=en_US&amp;offset=0&amp;query=any,contains,991003728199702656","Catalog Record")</f>
        <v/>
      </c>
      <c r="AT793">
        <f>HYPERLINK("http://www.worldcat.org/oclc/46651924","WorldCat Record")</f>
        <v/>
      </c>
      <c r="AU793" t="inlineStr">
        <is>
          <t>3855636445:eng</t>
        </is>
      </c>
      <c r="AV793" t="inlineStr">
        <is>
          <t>46651924</t>
        </is>
      </c>
      <c r="AW793" t="inlineStr">
        <is>
          <t>991003728199702656</t>
        </is>
      </c>
      <c r="AX793" t="inlineStr">
        <is>
          <t>991003728199702656</t>
        </is>
      </c>
      <c r="AY793" t="inlineStr">
        <is>
          <t>2268773390002656</t>
        </is>
      </c>
      <c r="AZ793" t="inlineStr">
        <is>
          <t>BOOK</t>
        </is>
      </c>
      <c r="BB793" t="inlineStr">
        <is>
          <t>9780126709605</t>
        </is>
      </c>
      <c r="BC793" t="inlineStr">
        <is>
          <t>32285004454178</t>
        </is>
      </c>
      <c r="BD793" t="inlineStr">
        <is>
          <t>893336859</t>
        </is>
      </c>
    </row>
    <row r="794">
      <c r="A794" t="inlineStr">
        <is>
          <t>No</t>
        </is>
      </c>
      <c r="B794" t="inlineStr">
        <is>
          <t>QD33 .B15</t>
        </is>
      </c>
      <c r="C794" t="inlineStr">
        <is>
          <t>0                      QD 0033000B  15</t>
        </is>
      </c>
      <c r="D794" t="inlineStr">
        <is>
          <t>University chemistry [by] John C. Bailar, Jr., Therald Moeller [and] Jacob Kleinberg. [Illustrated by R. Paul Larkin]</t>
        </is>
      </c>
      <c r="F794" t="inlineStr">
        <is>
          <t>No</t>
        </is>
      </c>
      <c r="G794" t="inlineStr">
        <is>
          <t>1</t>
        </is>
      </c>
      <c r="H794" t="inlineStr">
        <is>
          <t>No</t>
        </is>
      </c>
      <c r="I794" t="inlineStr">
        <is>
          <t>No</t>
        </is>
      </c>
      <c r="J794" t="inlineStr">
        <is>
          <t>0</t>
        </is>
      </c>
      <c r="K794" t="inlineStr">
        <is>
          <t>Bailar, John C. (John Christian), 1904-1991.</t>
        </is>
      </c>
      <c r="L794" t="inlineStr">
        <is>
          <t>Boston, Heath [1965]</t>
        </is>
      </c>
      <c r="M794" t="inlineStr">
        <is>
          <t>1965</t>
        </is>
      </c>
      <c r="O794" t="inlineStr">
        <is>
          <t>eng</t>
        </is>
      </c>
      <c r="P794" t="inlineStr">
        <is>
          <t>mau</t>
        </is>
      </c>
      <c r="R794" t="inlineStr">
        <is>
          <t xml:space="preserve">QD </t>
        </is>
      </c>
      <c r="S794" t="n">
        <v>4</v>
      </c>
      <c r="T794" t="n">
        <v>4</v>
      </c>
      <c r="U794" t="inlineStr">
        <is>
          <t>2004-07-08</t>
        </is>
      </c>
      <c r="V794" t="inlineStr">
        <is>
          <t>2004-07-08</t>
        </is>
      </c>
      <c r="W794" t="inlineStr">
        <is>
          <t>1997-05-29</t>
        </is>
      </c>
      <c r="X794" t="inlineStr">
        <is>
          <t>1997-05-29</t>
        </is>
      </c>
      <c r="Y794" t="n">
        <v>191</v>
      </c>
      <c r="Z794" t="n">
        <v>148</v>
      </c>
      <c r="AA794" t="n">
        <v>148</v>
      </c>
      <c r="AB794" t="n">
        <v>1</v>
      </c>
      <c r="AC794" t="n">
        <v>1</v>
      </c>
      <c r="AD794" t="n">
        <v>6</v>
      </c>
      <c r="AE794" t="n">
        <v>6</v>
      </c>
      <c r="AF794" t="n">
        <v>4</v>
      </c>
      <c r="AG794" t="n">
        <v>4</v>
      </c>
      <c r="AH794" t="n">
        <v>0</v>
      </c>
      <c r="AI794" t="n">
        <v>0</v>
      </c>
      <c r="AJ794" t="n">
        <v>3</v>
      </c>
      <c r="AK794" t="n">
        <v>3</v>
      </c>
      <c r="AL794" t="n">
        <v>0</v>
      </c>
      <c r="AM794" t="n">
        <v>0</v>
      </c>
      <c r="AN794" t="n">
        <v>0</v>
      </c>
      <c r="AO794" t="n">
        <v>0</v>
      </c>
      <c r="AP794" t="inlineStr">
        <is>
          <t>No</t>
        </is>
      </c>
      <c r="AQ794" t="inlineStr">
        <is>
          <t>No</t>
        </is>
      </c>
      <c r="AS794">
        <f>HYPERLINK("https://creighton-primo.hosted.exlibrisgroup.com/primo-explore/search?tab=default_tab&amp;search_scope=EVERYTHING&amp;vid=01CRU&amp;lang=en_US&amp;offset=0&amp;query=any,contains,991002950039702656","Catalog Record")</f>
        <v/>
      </c>
      <c r="AT794">
        <f>HYPERLINK("http://www.worldcat.org/oclc/538299","WorldCat Record")</f>
        <v/>
      </c>
      <c r="AU794" t="inlineStr">
        <is>
          <t>422847711:eng</t>
        </is>
      </c>
      <c r="AV794" t="inlineStr">
        <is>
          <t>538299</t>
        </is>
      </c>
      <c r="AW794" t="inlineStr">
        <is>
          <t>991002950039702656</t>
        </is>
      </c>
      <c r="AX794" t="inlineStr">
        <is>
          <t>991002950039702656</t>
        </is>
      </c>
      <c r="AY794" t="inlineStr">
        <is>
          <t>2262391290002656</t>
        </is>
      </c>
      <c r="AZ794" t="inlineStr">
        <is>
          <t>BOOK</t>
        </is>
      </c>
      <c r="BC794" t="inlineStr">
        <is>
          <t>32285002777083</t>
        </is>
      </c>
      <c r="BD794" t="inlineStr">
        <is>
          <t>893874239</t>
        </is>
      </c>
    </row>
    <row r="795">
      <c r="A795" t="inlineStr">
        <is>
          <t>No</t>
        </is>
      </c>
      <c r="B795" t="inlineStr">
        <is>
          <t>QD33 .C4944 1997</t>
        </is>
      </c>
      <c r="C795" t="inlineStr">
        <is>
          <t>0                      QD 0033000C  4944        1997</t>
        </is>
      </c>
      <c r="D795" t="inlineStr">
        <is>
          <t>Chemistry for the biological sciences : a self-directed study aid / edited by Colin Wynn.</t>
        </is>
      </c>
      <c r="F795" t="inlineStr">
        <is>
          <t>No</t>
        </is>
      </c>
      <c r="G795" t="inlineStr">
        <is>
          <t>1</t>
        </is>
      </c>
      <c r="H795" t="inlineStr">
        <is>
          <t>No</t>
        </is>
      </c>
      <c r="I795" t="inlineStr">
        <is>
          <t>No</t>
        </is>
      </c>
      <c r="J795" t="inlineStr">
        <is>
          <t>0</t>
        </is>
      </c>
      <c r="L795" t="inlineStr">
        <is>
          <t>Miami, FL : Portland Press, 1997.</t>
        </is>
      </c>
      <c r="M795" t="inlineStr">
        <is>
          <t>1997</t>
        </is>
      </c>
      <c r="O795" t="inlineStr">
        <is>
          <t>eng</t>
        </is>
      </c>
      <c r="P795" t="inlineStr">
        <is>
          <t>flu</t>
        </is>
      </c>
      <c r="R795" t="inlineStr">
        <is>
          <t xml:space="preserve">QD </t>
        </is>
      </c>
      <c r="S795" t="n">
        <v>35</v>
      </c>
      <c r="T795" t="n">
        <v>35</v>
      </c>
      <c r="U795" t="inlineStr">
        <is>
          <t>2004-10-24</t>
        </is>
      </c>
      <c r="V795" t="inlineStr">
        <is>
          <t>2004-10-24</t>
        </is>
      </c>
      <c r="W795" t="inlineStr">
        <is>
          <t>1997-05-15</t>
        </is>
      </c>
      <c r="X795" t="inlineStr">
        <is>
          <t>1997-05-15</t>
        </is>
      </c>
      <c r="Y795" t="n">
        <v>93</v>
      </c>
      <c r="Z795" t="n">
        <v>85</v>
      </c>
      <c r="AA795" t="n">
        <v>86</v>
      </c>
      <c r="AB795" t="n">
        <v>1</v>
      </c>
      <c r="AC795" t="n">
        <v>1</v>
      </c>
      <c r="AD795" t="n">
        <v>1</v>
      </c>
      <c r="AE795" t="n">
        <v>1</v>
      </c>
      <c r="AF795" t="n">
        <v>0</v>
      </c>
      <c r="AG795" t="n">
        <v>0</v>
      </c>
      <c r="AH795" t="n">
        <v>0</v>
      </c>
      <c r="AI795" t="n">
        <v>0</v>
      </c>
      <c r="AJ795" t="n">
        <v>1</v>
      </c>
      <c r="AK795" t="n">
        <v>1</v>
      </c>
      <c r="AL795" t="n">
        <v>0</v>
      </c>
      <c r="AM795" t="n">
        <v>0</v>
      </c>
      <c r="AN795" t="n">
        <v>0</v>
      </c>
      <c r="AO795" t="n">
        <v>0</v>
      </c>
      <c r="AP795" t="inlineStr">
        <is>
          <t>No</t>
        </is>
      </c>
      <c r="AQ795" t="inlineStr">
        <is>
          <t>Yes</t>
        </is>
      </c>
      <c r="AR795">
        <f>HYPERLINK("http://catalog.hathitrust.org/Record/004034877","HathiTrust Record")</f>
        <v/>
      </c>
      <c r="AS795">
        <f>HYPERLINK("https://creighton-primo.hosted.exlibrisgroup.com/primo-explore/search?tab=default_tab&amp;search_scope=EVERYTHING&amp;vid=01CRU&amp;lang=en_US&amp;offset=0&amp;query=any,contains,991002738459702656","Catalog Record")</f>
        <v/>
      </c>
      <c r="AT795">
        <f>HYPERLINK("http://www.worldcat.org/oclc/35961462","WorldCat Record")</f>
        <v/>
      </c>
      <c r="AU795" t="inlineStr">
        <is>
          <t>839223513:eng</t>
        </is>
      </c>
      <c r="AV795" t="inlineStr">
        <is>
          <t>35961462</t>
        </is>
      </c>
      <c r="AW795" t="inlineStr">
        <is>
          <t>991002738459702656</t>
        </is>
      </c>
      <c r="AX795" t="inlineStr">
        <is>
          <t>991002738459702656</t>
        </is>
      </c>
      <c r="AY795" t="inlineStr">
        <is>
          <t>2270051760002656</t>
        </is>
      </c>
      <c r="AZ795" t="inlineStr">
        <is>
          <t>BOOK</t>
        </is>
      </c>
      <c r="BB795" t="inlineStr">
        <is>
          <t>9781855789982</t>
        </is>
      </c>
      <c r="BC795" t="inlineStr">
        <is>
          <t>32285002608767</t>
        </is>
      </c>
      <c r="BD795" t="inlineStr">
        <is>
          <t>893716856</t>
        </is>
      </c>
    </row>
    <row r="796">
      <c r="A796" t="inlineStr">
        <is>
          <t>No</t>
        </is>
      </c>
      <c r="B796" t="inlineStr">
        <is>
          <t>QD33 .P34 1988</t>
        </is>
      </c>
      <c r="C796" t="inlineStr">
        <is>
          <t>0                      QD 0033000P  34          1988</t>
        </is>
      </c>
      <c r="D796" t="inlineStr">
        <is>
          <t>General chemistry / Linus Pauling.</t>
        </is>
      </c>
      <c r="F796" t="inlineStr">
        <is>
          <t>No</t>
        </is>
      </c>
      <c r="G796" t="inlineStr">
        <is>
          <t>1</t>
        </is>
      </c>
      <c r="H796" t="inlineStr">
        <is>
          <t>No</t>
        </is>
      </c>
      <c r="I796" t="inlineStr">
        <is>
          <t>No</t>
        </is>
      </c>
      <c r="J796" t="inlineStr">
        <is>
          <t>0</t>
        </is>
      </c>
      <c r="K796" t="inlineStr">
        <is>
          <t>Pauling, Linus, 1901-1994.</t>
        </is>
      </c>
      <c r="L796" t="inlineStr">
        <is>
          <t>New York : Dover Publications, Inc., 1988.</t>
        </is>
      </c>
      <c r="M796" t="inlineStr">
        <is>
          <t>1988</t>
        </is>
      </c>
      <c r="O796" t="inlineStr">
        <is>
          <t>eng</t>
        </is>
      </c>
      <c r="P796" t="inlineStr">
        <is>
          <t>nyu</t>
        </is>
      </c>
      <c r="R796" t="inlineStr">
        <is>
          <t xml:space="preserve">QD </t>
        </is>
      </c>
      <c r="S796" t="n">
        <v>5</v>
      </c>
      <c r="T796" t="n">
        <v>5</v>
      </c>
      <c r="U796" t="inlineStr">
        <is>
          <t>2010-10-06</t>
        </is>
      </c>
      <c r="V796" t="inlineStr">
        <is>
          <t>2010-10-06</t>
        </is>
      </c>
      <c r="W796" t="inlineStr">
        <is>
          <t>2007-06-14</t>
        </is>
      </c>
      <c r="X796" t="inlineStr">
        <is>
          <t>2007-06-14</t>
        </is>
      </c>
      <c r="Y796" t="n">
        <v>417</v>
      </c>
      <c r="Z796" t="n">
        <v>359</v>
      </c>
      <c r="AA796" t="n">
        <v>941</v>
      </c>
      <c r="AB796" t="n">
        <v>2</v>
      </c>
      <c r="AC796" t="n">
        <v>5</v>
      </c>
      <c r="AD796" t="n">
        <v>4</v>
      </c>
      <c r="AE796" t="n">
        <v>18</v>
      </c>
      <c r="AF796" t="n">
        <v>1</v>
      </c>
      <c r="AG796" t="n">
        <v>5</v>
      </c>
      <c r="AH796" t="n">
        <v>1</v>
      </c>
      <c r="AI796" t="n">
        <v>5</v>
      </c>
      <c r="AJ796" t="n">
        <v>1</v>
      </c>
      <c r="AK796" t="n">
        <v>8</v>
      </c>
      <c r="AL796" t="n">
        <v>1</v>
      </c>
      <c r="AM796" t="n">
        <v>4</v>
      </c>
      <c r="AN796" t="n">
        <v>0</v>
      </c>
      <c r="AO796" t="n">
        <v>0</v>
      </c>
      <c r="AP796" t="inlineStr">
        <is>
          <t>No</t>
        </is>
      </c>
      <c r="AQ796" t="inlineStr">
        <is>
          <t>No</t>
        </is>
      </c>
      <c r="AS796">
        <f>HYPERLINK("https://creighton-primo.hosted.exlibrisgroup.com/primo-explore/search?tab=default_tab&amp;search_scope=EVERYTHING&amp;vid=01CRU&amp;lang=en_US&amp;offset=0&amp;query=any,contains,991005093709702656","Catalog Record")</f>
        <v/>
      </c>
      <c r="AT796">
        <f>HYPERLINK("http://www.worldcat.org/oclc/17234130","WorldCat Record")</f>
        <v/>
      </c>
      <c r="AU796" t="inlineStr">
        <is>
          <t>21387208:eng</t>
        </is>
      </c>
      <c r="AV796" t="inlineStr">
        <is>
          <t>17234130</t>
        </is>
      </c>
      <c r="AW796" t="inlineStr">
        <is>
          <t>991005093709702656</t>
        </is>
      </c>
      <c r="AX796" t="inlineStr">
        <is>
          <t>991005093709702656</t>
        </is>
      </c>
      <c r="AY796" t="inlineStr">
        <is>
          <t>2271810160002656</t>
        </is>
      </c>
      <c r="AZ796" t="inlineStr">
        <is>
          <t>BOOK</t>
        </is>
      </c>
      <c r="BB796" t="inlineStr">
        <is>
          <t>9780486656229</t>
        </is>
      </c>
      <c r="BC796" t="inlineStr">
        <is>
          <t>32285005317341</t>
        </is>
      </c>
      <c r="BD796" t="inlineStr">
        <is>
          <t>893870497</t>
        </is>
      </c>
    </row>
    <row r="797">
      <c r="A797" t="inlineStr">
        <is>
          <t>No</t>
        </is>
      </c>
      <c r="B797" t="inlineStr">
        <is>
          <t>QD33 .S69 1992</t>
        </is>
      </c>
      <c r="C797" t="inlineStr">
        <is>
          <t>0                      QD 0033000S  69          1992</t>
        </is>
      </c>
      <c r="D797" t="inlineStr">
        <is>
          <t>The extraordinary chemistry of ordinary things / Carl H. Snyder.</t>
        </is>
      </c>
      <c r="F797" t="inlineStr">
        <is>
          <t>No</t>
        </is>
      </c>
      <c r="G797" t="inlineStr">
        <is>
          <t>1</t>
        </is>
      </c>
      <c r="H797" t="inlineStr">
        <is>
          <t>No</t>
        </is>
      </c>
      <c r="I797" t="inlineStr">
        <is>
          <t>No</t>
        </is>
      </c>
      <c r="J797" t="inlineStr">
        <is>
          <t>0</t>
        </is>
      </c>
      <c r="K797" t="inlineStr">
        <is>
          <t>Snyder, Carl H.</t>
        </is>
      </c>
      <c r="L797" t="inlineStr">
        <is>
          <t>New York : Wiley, c1992.</t>
        </is>
      </c>
      <c r="M797" t="inlineStr">
        <is>
          <t>1992</t>
        </is>
      </c>
      <c r="O797" t="inlineStr">
        <is>
          <t>eng</t>
        </is>
      </c>
      <c r="P797" t="inlineStr">
        <is>
          <t>nyu</t>
        </is>
      </c>
      <c r="R797" t="inlineStr">
        <is>
          <t xml:space="preserve">QD </t>
        </is>
      </c>
      <c r="S797" t="n">
        <v>25</v>
      </c>
      <c r="T797" t="n">
        <v>25</v>
      </c>
      <c r="U797" t="inlineStr">
        <is>
          <t>2009-03-18</t>
        </is>
      </c>
      <c r="V797" t="inlineStr">
        <is>
          <t>2009-03-18</t>
        </is>
      </c>
      <c r="W797" t="inlineStr">
        <is>
          <t>1992-05-28</t>
        </is>
      </c>
      <c r="X797" t="inlineStr">
        <is>
          <t>1992-05-28</t>
        </is>
      </c>
      <c r="Y797" t="n">
        <v>288</v>
      </c>
      <c r="Z797" t="n">
        <v>207</v>
      </c>
      <c r="AA797" t="n">
        <v>859</v>
      </c>
      <c r="AB797" t="n">
        <v>1</v>
      </c>
      <c r="AC797" t="n">
        <v>5</v>
      </c>
      <c r="AD797" t="n">
        <v>5</v>
      </c>
      <c r="AE797" t="n">
        <v>30</v>
      </c>
      <c r="AF797" t="n">
        <v>3</v>
      </c>
      <c r="AG797" t="n">
        <v>13</v>
      </c>
      <c r="AH797" t="n">
        <v>2</v>
      </c>
      <c r="AI797" t="n">
        <v>6</v>
      </c>
      <c r="AJ797" t="n">
        <v>2</v>
      </c>
      <c r="AK797" t="n">
        <v>13</v>
      </c>
      <c r="AL797" t="n">
        <v>0</v>
      </c>
      <c r="AM797" t="n">
        <v>4</v>
      </c>
      <c r="AN797" t="n">
        <v>0</v>
      </c>
      <c r="AO797" t="n">
        <v>0</v>
      </c>
      <c r="AP797" t="inlineStr">
        <is>
          <t>No</t>
        </is>
      </c>
      <c r="AQ797" t="inlineStr">
        <is>
          <t>Yes</t>
        </is>
      </c>
      <c r="AR797">
        <f>HYPERLINK("http://catalog.hathitrust.org/Record/002698251","HathiTrust Record")</f>
        <v/>
      </c>
      <c r="AS797">
        <f>HYPERLINK("https://creighton-primo.hosted.exlibrisgroup.com/primo-explore/search?tab=default_tab&amp;search_scope=EVERYTHING&amp;vid=01CRU&amp;lang=en_US&amp;offset=0&amp;query=any,contains,991001936719702656","Catalog Record")</f>
        <v/>
      </c>
      <c r="AT797">
        <f>HYPERLINK("http://www.worldcat.org/oclc/24468033","WorldCat Record")</f>
        <v/>
      </c>
      <c r="AU797" t="inlineStr">
        <is>
          <t>704349:eng</t>
        </is>
      </c>
      <c r="AV797" t="inlineStr">
        <is>
          <t>24468033</t>
        </is>
      </c>
      <c r="AW797" t="inlineStr">
        <is>
          <t>991001936719702656</t>
        </is>
      </c>
      <c r="AX797" t="inlineStr">
        <is>
          <t>991001936719702656</t>
        </is>
      </c>
      <c r="AY797" t="inlineStr">
        <is>
          <t>2271154280002656</t>
        </is>
      </c>
      <c r="AZ797" t="inlineStr">
        <is>
          <t>BOOK</t>
        </is>
      </c>
      <c r="BB797" t="inlineStr">
        <is>
          <t>9780471629719</t>
        </is>
      </c>
      <c r="BC797" t="inlineStr">
        <is>
          <t>32285001119410</t>
        </is>
      </c>
      <c r="BD797" t="inlineStr">
        <is>
          <t>893609286</t>
        </is>
      </c>
    </row>
    <row r="798">
      <c r="A798" t="inlineStr">
        <is>
          <t>No</t>
        </is>
      </c>
      <c r="B798" t="inlineStr">
        <is>
          <t>QD35 .C56 2005</t>
        </is>
      </c>
      <c r="C798" t="inlineStr">
        <is>
          <t>0                      QD 0035000C  56          2005</t>
        </is>
      </c>
      <c r="D798" t="inlineStr">
        <is>
          <t>The joy of chemistry : the amazing science of familiar things / Cathy Cobb &amp; Monty L. Fetterolf.</t>
        </is>
      </c>
      <c r="F798" t="inlineStr">
        <is>
          <t>No</t>
        </is>
      </c>
      <c r="G798" t="inlineStr">
        <is>
          <t>1</t>
        </is>
      </c>
      <c r="H798" t="inlineStr">
        <is>
          <t>No</t>
        </is>
      </c>
      <c r="I798" t="inlineStr">
        <is>
          <t>No</t>
        </is>
      </c>
      <c r="J798" t="inlineStr">
        <is>
          <t>0</t>
        </is>
      </c>
      <c r="K798" t="inlineStr">
        <is>
          <t>Cobb, Cathy.</t>
        </is>
      </c>
      <c r="L798" t="inlineStr">
        <is>
          <t>Amherst, N.Y. : Prometheus Books, 2005.</t>
        </is>
      </c>
      <c r="M798" t="inlineStr">
        <is>
          <t>2005</t>
        </is>
      </c>
      <c r="O798" t="inlineStr">
        <is>
          <t>eng</t>
        </is>
      </c>
      <c r="P798" t="inlineStr">
        <is>
          <t>nyu</t>
        </is>
      </c>
      <c r="R798" t="inlineStr">
        <is>
          <t xml:space="preserve">QD </t>
        </is>
      </c>
      <c r="S798" t="n">
        <v>1</v>
      </c>
      <c r="T798" t="n">
        <v>1</v>
      </c>
      <c r="U798" t="inlineStr">
        <is>
          <t>2005-08-17</t>
        </is>
      </c>
      <c r="V798" t="inlineStr">
        <is>
          <t>2005-08-17</t>
        </is>
      </c>
      <c r="W798" t="inlineStr">
        <is>
          <t>2005-05-24</t>
        </is>
      </c>
      <c r="X798" t="inlineStr">
        <is>
          <t>2005-05-24</t>
        </is>
      </c>
      <c r="Y798" t="n">
        <v>1544</v>
      </c>
      <c r="Z798" t="n">
        <v>1418</v>
      </c>
      <c r="AA798" t="n">
        <v>1799</v>
      </c>
      <c r="AB798" t="n">
        <v>7</v>
      </c>
      <c r="AC798" t="n">
        <v>13</v>
      </c>
      <c r="AD798" t="n">
        <v>34</v>
      </c>
      <c r="AE798" t="n">
        <v>36</v>
      </c>
      <c r="AF798" t="n">
        <v>15</v>
      </c>
      <c r="AG798" t="n">
        <v>15</v>
      </c>
      <c r="AH798" t="n">
        <v>5</v>
      </c>
      <c r="AI798" t="n">
        <v>5</v>
      </c>
      <c r="AJ798" t="n">
        <v>17</v>
      </c>
      <c r="AK798" t="n">
        <v>17</v>
      </c>
      <c r="AL798" t="n">
        <v>6</v>
      </c>
      <c r="AM798" t="n">
        <v>8</v>
      </c>
      <c r="AN798" t="n">
        <v>0</v>
      </c>
      <c r="AO798" t="n">
        <v>0</v>
      </c>
      <c r="AP798" t="inlineStr">
        <is>
          <t>No</t>
        </is>
      </c>
      <c r="AQ798" t="inlineStr">
        <is>
          <t>Yes</t>
        </is>
      </c>
      <c r="AR798">
        <f>HYPERLINK("http://catalog.hathitrust.org/Record/005080687","HathiTrust Record")</f>
        <v/>
      </c>
      <c r="AS798">
        <f>HYPERLINK("https://creighton-primo.hosted.exlibrisgroup.com/primo-explore/search?tab=default_tab&amp;search_scope=EVERYTHING&amp;vid=01CRU&amp;lang=en_US&amp;offset=0&amp;query=any,contains,991004534329702656","Catalog Record")</f>
        <v/>
      </c>
      <c r="AT798">
        <f>HYPERLINK("http://www.worldcat.org/oclc/56387165","WorldCat Record")</f>
        <v/>
      </c>
      <c r="AU798" t="inlineStr">
        <is>
          <t>867437480:eng</t>
        </is>
      </c>
      <c r="AV798" t="inlineStr">
        <is>
          <t>56387165</t>
        </is>
      </c>
      <c r="AW798" t="inlineStr">
        <is>
          <t>991004534329702656</t>
        </is>
      </c>
      <c r="AX798" t="inlineStr">
        <is>
          <t>991004534329702656</t>
        </is>
      </c>
      <c r="AY798" t="inlineStr">
        <is>
          <t>2264501180002656</t>
        </is>
      </c>
      <c r="AZ798" t="inlineStr">
        <is>
          <t>BOOK</t>
        </is>
      </c>
      <c r="BB798" t="inlineStr">
        <is>
          <t>9781591022312</t>
        </is>
      </c>
      <c r="BC798" t="inlineStr">
        <is>
          <t>32285005090187</t>
        </is>
      </c>
      <c r="BD798" t="inlineStr">
        <is>
          <t>893536039</t>
        </is>
      </c>
    </row>
    <row r="799">
      <c r="A799" t="inlineStr">
        <is>
          <t>No</t>
        </is>
      </c>
      <c r="B799" t="inlineStr">
        <is>
          <t>QD380 .E9 2003</t>
        </is>
      </c>
      <c r="C799" t="inlineStr">
        <is>
          <t>0                      QD 0380000E  9           2003</t>
        </is>
      </c>
      <c r="D799" t="inlineStr">
        <is>
          <t>Stereospecific polymerization and stereoregular polymers ; Milan. Italy June 8-12, 2003 / symposum editor : A. Giarrusso, G. Ricci, I. Tritto.</t>
        </is>
      </c>
      <c r="F799" t="inlineStr">
        <is>
          <t>No</t>
        </is>
      </c>
      <c r="G799" t="inlineStr">
        <is>
          <t>1</t>
        </is>
      </c>
      <c r="H799" t="inlineStr">
        <is>
          <t>No</t>
        </is>
      </c>
      <c r="I799" t="inlineStr">
        <is>
          <t>No</t>
        </is>
      </c>
      <c r="J799" t="inlineStr">
        <is>
          <t>0</t>
        </is>
      </c>
      <c r="K799" t="inlineStr">
        <is>
          <t>EUPOC (2003 : Milan, Italy)</t>
        </is>
      </c>
      <c r="L799" t="inlineStr">
        <is>
          <t>Weinheim, Germany : Wiley-VCH, c2004.</t>
        </is>
      </c>
      <c r="M799" t="inlineStr">
        <is>
          <t>2004</t>
        </is>
      </c>
      <c r="O799" t="inlineStr">
        <is>
          <t>eng</t>
        </is>
      </c>
      <c r="P799" t="inlineStr">
        <is>
          <t xml:space="preserve">gw </t>
        </is>
      </c>
      <c r="Q799" t="inlineStr">
        <is>
          <t>Macromolecular symposia, 1022-1360 ; 213</t>
        </is>
      </c>
      <c r="R799" t="inlineStr">
        <is>
          <t xml:space="preserve">QD </t>
        </is>
      </c>
      <c r="S799" t="n">
        <v>1</v>
      </c>
      <c r="T799" t="n">
        <v>1</v>
      </c>
      <c r="U799" t="inlineStr">
        <is>
          <t>2005-01-25</t>
        </is>
      </c>
      <c r="V799" t="inlineStr">
        <is>
          <t>2005-01-25</t>
        </is>
      </c>
      <c r="W799" t="inlineStr">
        <is>
          <t>2005-01-25</t>
        </is>
      </c>
      <c r="X799" t="inlineStr">
        <is>
          <t>2005-01-25</t>
        </is>
      </c>
      <c r="Y799" t="n">
        <v>60</v>
      </c>
      <c r="Z799" t="n">
        <v>30</v>
      </c>
      <c r="AA799" t="n">
        <v>30</v>
      </c>
      <c r="AB799" t="n">
        <v>1</v>
      </c>
      <c r="AC799" t="n">
        <v>1</v>
      </c>
      <c r="AD799" t="n">
        <v>0</v>
      </c>
      <c r="AE799" t="n">
        <v>0</v>
      </c>
      <c r="AF799" t="n">
        <v>0</v>
      </c>
      <c r="AG799" t="n">
        <v>0</v>
      </c>
      <c r="AH799" t="n">
        <v>0</v>
      </c>
      <c r="AI799" t="n">
        <v>0</v>
      </c>
      <c r="AJ799" t="n">
        <v>0</v>
      </c>
      <c r="AK799" t="n">
        <v>0</v>
      </c>
      <c r="AL799" t="n">
        <v>0</v>
      </c>
      <c r="AM799" t="n">
        <v>0</v>
      </c>
      <c r="AN799" t="n">
        <v>0</v>
      </c>
      <c r="AO799" t="n">
        <v>0</v>
      </c>
      <c r="AP799" t="inlineStr">
        <is>
          <t>No</t>
        </is>
      </c>
      <c r="AQ799" t="inlineStr">
        <is>
          <t>No</t>
        </is>
      </c>
      <c r="AS799">
        <f>HYPERLINK("https://creighton-primo.hosted.exlibrisgroup.com/primo-explore/search?tab=default_tab&amp;search_scope=EVERYTHING&amp;vid=01CRU&amp;lang=en_US&amp;offset=0&amp;query=any,contains,991004429079702656","Catalog Record")</f>
        <v/>
      </c>
      <c r="AT799">
        <f>HYPERLINK("http://www.worldcat.org/oclc/56059709","WorldCat Record")</f>
        <v/>
      </c>
      <c r="AU799" t="inlineStr">
        <is>
          <t>5090804843:eng</t>
        </is>
      </c>
      <c r="AV799" t="inlineStr">
        <is>
          <t>56059709</t>
        </is>
      </c>
      <c r="AW799" t="inlineStr">
        <is>
          <t>991004429079702656</t>
        </is>
      </c>
      <c r="AX799" t="inlineStr">
        <is>
          <t>991004429079702656</t>
        </is>
      </c>
      <c r="AY799" t="inlineStr">
        <is>
          <t>2256464360002656</t>
        </is>
      </c>
      <c r="AZ799" t="inlineStr">
        <is>
          <t>BOOK</t>
        </is>
      </c>
      <c r="BB799" t="inlineStr">
        <is>
          <t>9783527310463</t>
        </is>
      </c>
      <c r="BC799" t="inlineStr">
        <is>
          <t>32285005019475</t>
        </is>
      </c>
      <c r="BD799" t="inlineStr">
        <is>
          <t>893229357</t>
        </is>
      </c>
    </row>
    <row r="800">
      <c r="A800" t="inlineStr">
        <is>
          <t>No</t>
        </is>
      </c>
      <c r="B800" t="inlineStr">
        <is>
          <t>QD381 .B34 2002</t>
        </is>
      </c>
      <c r="C800" t="inlineStr">
        <is>
          <t>0                      QD 0381000B  34          2002</t>
        </is>
      </c>
      <c r="D800" t="inlineStr">
        <is>
          <t>Principles of polymer science / P. Bahadur, N.V. Sastry.</t>
        </is>
      </c>
      <c r="F800" t="inlineStr">
        <is>
          <t>No</t>
        </is>
      </c>
      <c r="G800" t="inlineStr">
        <is>
          <t>1</t>
        </is>
      </c>
      <c r="H800" t="inlineStr">
        <is>
          <t>No</t>
        </is>
      </c>
      <c r="I800" t="inlineStr">
        <is>
          <t>No</t>
        </is>
      </c>
      <c r="J800" t="inlineStr">
        <is>
          <t>0</t>
        </is>
      </c>
      <c r="K800" t="inlineStr">
        <is>
          <t>Bahadur, P.</t>
        </is>
      </c>
      <c r="L800" t="inlineStr">
        <is>
          <t>Pangbourne, England : Alpha Science International Ltd., c2002.</t>
        </is>
      </c>
      <c r="M800" t="inlineStr">
        <is>
          <t>2002</t>
        </is>
      </c>
      <c r="O800" t="inlineStr">
        <is>
          <t>eng</t>
        </is>
      </c>
      <c r="P800" t="inlineStr">
        <is>
          <t>enk</t>
        </is>
      </c>
      <c r="R800" t="inlineStr">
        <is>
          <t xml:space="preserve">QD </t>
        </is>
      </c>
      <c r="S800" t="n">
        <v>6</v>
      </c>
      <c r="T800" t="n">
        <v>6</v>
      </c>
      <c r="U800" t="inlineStr">
        <is>
          <t>2010-11-09</t>
        </is>
      </c>
      <c r="V800" t="inlineStr">
        <is>
          <t>2010-11-09</t>
        </is>
      </c>
      <c r="W800" t="inlineStr">
        <is>
          <t>2003-06-17</t>
        </is>
      </c>
      <c r="X800" t="inlineStr">
        <is>
          <t>2003-06-17</t>
        </is>
      </c>
      <c r="Y800" t="n">
        <v>33</v>
      </c>
      <c r="Z800" t="n">
        <v>19</v>
      </c>
      <c r="AA800" t="n">
        <v>107</v>
      </c>
      <c r="AB800" t="n">
        <v>1</v>
      </c>
      <c r="AC800" t="n">
        <v>2</v>
      </c>
      <c r="AD800" t="n">
        <v>0</v>
      </c>
      <c r="AE800" t="n">
        <v>4</v>
      </c>
      <c r="AF800" t="n">
        <v>0</v>
      </c>
      <c r="AG800" t="n">
        <v>1</v>
      </c>
      <c r="AH800" t="n">
        <v>0</v>
      </c>
      <c r="AI800" t="n">
        <v>1</v>
      </c>
      <c r="AJ800" t="n">
        <v>0</v>
      </c>
      <c r="AK800" t="n">
        <v>2</v>
      </c>
      <c r="AL800" t="n">
        <v>0</v>
      </c>
      <c r="AM800" t="n">
        <v>1</v>
      </c>
      <c r="AN800" t="n">
        <v>0</v>
      </c>
      <c r="AO800" t="n">
        <v>0</v>
      </c>
      <c r="AP800" t="inlineStr">
        <is>
          <t>No</t>
        </is>
      </c>
      <c r="AQ800" t="inlineStr">
        <is>
          <t>No</t>
        </is>
      </c>
      <c r="AS800">
        <f>HYPERLINK("https://creighton-primo.hosted.exlibrisgroup.com/primo-explore/search?tab=default_tab&amp;search_scope=EVERYTHING&amp;vid=01CRU&amp;lang=en_US&amp;offset=0&amp;query=any,contains,991003999589702656","Catalog Record")</f>
        <v/>
      </c>
      <c r="AT800">
        <f>HYPERLINK("http://www.worldcat.org/oclc/52426550","WorldCat Record")</f>
        <v/>
      </c>
      <c r="AU800" t="inlineStr">
        <is>
          <t>1028445:eng</t>
        </is>
      </c>
      <c r="AV800" t="inlineStr">
        <is>
          <t>52426550</t>
        </is>
      </c>
      <c r="AW800" t="inlineStr">
        <is>
          <t>991003999589702656</t>
        </is>
      </c>
      <c r="AX800" t="inlineStr">
        <is>
          <t>991003999589702656</t>
        </is>
      </c>
      <c r="AY800" t="inlineStr">
        <is>
          <t>2268190450002656</t>
        </is>
      </c>
      <c r="AZ800" t="inlineStr">
        <is>
          <t>BOOK</t>
        </is>
      </c>
      <c r="BB800" t="inlineStr">
        <is>
          <t>9781842650844</t>
        </is>
      </c>
      <c r="BC800" t="inlineStr">
        <is>
          <t>32285004753488</t>
        </is>
      </c>
      <c r="BD800" t="inlineStr">
        <is>
          <t>893331092</t>
        </is>
      </c>
    </row>
    <row r="801">
      <c r="A801" t="inlineStr">
        <is>
          <t>No</t>
        </is>
      </c>
      <c r="B801" t="inlineStr">
        <is>
          <t>QD381 .B568 1991</t>
        </is>
      </c>
      <c r="C801" t="inlineStr">
        <is>
          <t>0                      QD 0381000B  568         1991</t>
        </is>
      </c>
      <c r="D801" t="inlineStr">
        <is>
          <t>Structural investigation of polymers / G. Bodor ; translation editor: J. Hodgkinson.</t>
        </is>
      </c>
      <c r="F801" t="inlineStr">
        <is>
          <t>No</t>
        </is>
      </c>
      <c r="G801" t="inlineStr">
        <is>
          <t>1</t>
        </is>
      </c>
      <c r="H801" t="inlineStr">
        <is>
          <t>No</t>
        </is>
      </c>
      <c r="I801" t="inlineStr">
        <is>
          <t>No</t>
        </is>
      </c>
      <c r="J801" t="inlineStr">
        <is>
          <t>0</t>
        </is>
      </c>
      <c r="K801" t="inlineStr">
        <is>
          <t>Bodor, G.</t>
        </is>
      </c>
      <c r="L801" t="inlineStr">
        <is>
          <t>New York : Ellis Horwood, 1991.</t>
        </is>
      </c>
      <c r="M801" t="inlineStr">
        <is>
          <t>1991</t>
        </is>
      </c>
      <c r="O801" t="inlineStr">
        <is>
          <t>eng</t>
        </is>
      </c>
      <c r="P801" t="inlineStr">
        <is>
          <t>nyu</t>
        </is>
      </c>
      <c r="Q801" t="inlineStr">
        <is>
          <t>Ellis Horwood series in polymer science and technology</t>
        </is>
      </c>
      <c r="R801" t="inlineStr">
        <is>
          <t xml:space="preserve">QD </t>
        </is>
      </c>
      <c r="S801" t="n">
        <v>1</v>
      </c>
      <c r="T801" t="n">
        <v>1</v>
      </c>
      <c r="U801" t="inlineStr">
        <is>
          <t>1992-10-12</t>
        </is>
      </c>
      <c r="V801" t="inlineStr">
        <is>
          <t>1992-10-12</t>
        </is>
      </c>
      <c r="W801" t="inlineStr">
        <is>
          <t>1992-07-15</t>
        </is>
      </c>
      <c r="X801" t="inlineStr">
        <is>
          <t>1992-07-15</t>
        </is>
      </c>
      <c r="Y801" t="n">
        <v>106</v>
      </c>
      <c r="Z801" t="n">
        <v>68</v>
      </c>
      <c r="AA801" t="n">
        <v>71</v>
      </c>
      <c r="AB801" t="n">
        <v>1</v>
      </c>
      <c r="AC801" t="n">
        <v>1</v>
      </c>
      <c r="AD801" t="n">
        <v>0</v>
      </c>
      <c r="AE801" t="n">
        <v>0</v>
      </c>
      <c r="AF801" t="n">
        <v>0</v>
      </c>
      <c r="AG801" t="n">
        <v>0</v>
      </c>
      <c r="AH801" t="n">
        <v>0</v>
      </c>
      <c r="AI801" t="n">
        <v>0</v>
      </c>
      <c r="AJ801" t="n">
        <v>0</v>
      </c>
      <c r="AK801" t="n">
        <v>0</v>
      </c>
      <c r="AL801" t="n">
        <v>0</v>
      </c>
      <c r="AM801" t="n">
        <v>0</v>
      </c>
      <c r="AN801" t="n">
        <v>0</v>
      </c>
      <c r="AO801" t="n">
        <v>0</v>
      </c>
      <c r="AP801" t="inlineStr">
        <is>
          <t>No</t>
        </is>
      </c>
      <c r="AQ801" t="inlineStr">
        <is>
          <t>Yes</t>
        </is>
      </c>
      <c r="AR801">
        <f>HYPERLINK("http://catalog.hathitrust.org/Record/002505224","HathiTrust Record")</f>
        <v/>
      </c>
      <c r="AS801">
        <f>HYPERLINK("https://creighton-primo.hosted.exlibrisgroup.com/primo-explore/search?tab=default_tab&amp;search_scope=EVERYTHING&amp;vid=01CRU&amp;lang=en_US&amp;offset=0&amp;query=any,contains,991001730869702656","Catalog Record")</f>
        <v/>
      </c>
      <c r="AT801">
        <f>HYPERLINK("http://www.worldcat.org/oclc/21911076","WorldCat Record")</f>
        <v/>
      </c>
      <c r="AU801" t="inlineStr">
        <is>
          <t>23068346:eng</t>
        </is>
      </c>
      <c r="AV801" t="inlineStr">
        <is>
          <t>21911076</t>
        </is>
      </c>
      <c r="AW801" t="inlineStr">
        <is>
          <t>991001730869702656</t>
        </is>
      </c>
      <c r="AX801" t="inlineStr">
        <is>
          <t>991001730869702656</t>
        </is>
      </c>
      <c r="AY801" t="inlineStr">
        <is>
          <t>2264128510002656</t>
        </is>
      </c>
      <c r="AZ801" t="inlineStr">
        <is>
          <t>BOOK</t>
        </is>
      </c>
      <c r="BB801" t="inlineStr">
        <is>
          <t>9780138529895</t>
        </is>
      </c>
      <c r="BC801" t="inlineStr">
        <is>
          <t>32285001158665</t>
        </is>
      </c>
      <c r="BD801" t="inlineStr">
        <is>
          <t>893238293</t>
        </is>
      </c>
    </row>
    <row r="802">
      <c r="A802" t="inlineStr">
        <is>
          <t>No</t>
        </is>
      </c>
      <c r="B802" t="inlineStr">
        <is>
          <t>QD381 .L57</t>
        </is>
      </c>
      <c r="C802" t="inlineStr">
        <is>
          <t>0                      QD 0381000L  57</t>
        </is>
      </c>
      <c r="D802" t="inlineStr">
        <is>
          <t>Liquid crystalline order in polymers / edited by Alexandre Blumstein ; contributors, Donald G. Baird ... [et al.].</t>
        </is>
      </c>
      <c r="F802" t="inlineStr">
        <is>
          <t>No</t>
        </is>
      </c>
      <c r="G802" t="inlineStr">
        <is>
          <t>1</t>
        </is>
      </c>
      <c r="H802" t="inlineStr">
        <is>
          <t>No</t>
        </is>
      </c>
      <c r="I802" t="inlineStr">
        <is>
          <t>No</t>
        </is>
      </c>
      <c r="J802" t="inlineStr">
        <is>
          <t>0</t>
        </is>
      </c>
      <c r="L802" t="inlineStr">
        <is>
          <t>New York : Academic Press, 1978.</t>
        </is>
      </c>
      <c r="M802" t="inlineStr">
        <is>
          <t>1978</t>
        </is>
      </c>
      <c r="O802" t="inlineStr">
        <is>
          <t>eng</t>
        </is>
      </c>
      <c r="P802" t="inlineStr">
        <is>
          <t>nyu</t>
        </is>
      </c>
      <c r="R802" t="inlineStr">
        <is>
          <t xml:space="preserve">QD </t>
        </is>
      </c>
      <c r="S802" t="n">
        <v>2</v>
      </c>
      <c r="T802" t="n">
        <v>2</v>
      </c>
      <c r="U802" t="inlineStr">
        <is>
          <t>1997-04-19</t>
        </is>
      </c>
      <c r="V802" t="inlineStr">
        <is>
          <t>1997-04-19</t>
        </is>
      </c>
      <c r="W802" t="inlineStr">
        <is>
          <t>1992-11-01</t>
        </is>
      </c>
      <c r="X802" t="inlineStr">
        <is>
          <t>1992-11-01</t>
        </is>
      </c>
      <c r="Y802" t="n">
        <v>218</v>
      </c>
      <c r="Z802" t="n">
        <v>149</v>
      </c>
      <c r="AA802" t="n">
        <v>200</v>
      </c>
      <c r="AB802" t="n">
        <v>3</v>
      </c>
      <c r="AC802" t="n">
        <v>3</v>
      </c>
      <c r="AD802" t="n">
        <v>5</v>
      </c>
      <c r="AE802" t="n">
        <v>8</v>
      </c>
      <c r="AF802" t="n">
        <v>0</v>
      </c>
      <c r="AG802" t="n">
        <v>2</v>
      </c>
      <c r="AH802" t="n">
        <v>2</v>
      </c>
      <c r="AI802" t="n">
        <v>4</v>
      </c>
      <c r="AJ802" t="n">
        <v>2</v>
      </c>
      <c r="AK802" t="n">
        <v>2</v>
      </c>
      <c r="AL802" t="n">
        <v>2</v>
      </c>
      <c r="AM802" t="n">
        <v>2</v>
      </c>
      <c r="AN802" t="n">
        <v>0</v>
      </c>
      <c r="AO802" t="n">
        <v>0</v>
      </c>
      <c r="AP802" t="inlineStr">
        <is>
          <t>No</t>
        </is>
      </c>
      <c r="AQ802" t="inlineStr">
        <is>
          <t>Yes</t>
        </is>
      </c>
      <c r="AR802">
        <f>HYPERLINK("http://catalog.hathitrust.org/Record/000087513","HathiTrust Record")</f>
        <v/>
      </c>
      <c r="AS802">
        <f>HYPERLINK("https://creighton-primo.hosted.exlibrisgroup.com/primo-explore/search?tab=default_tab&amp;search_scope=EVERYTHING&amp;vid=01CRU&amp;lang=en_US&amp;offset=0&amp;query=any,contains,991004446349702656","Catalog Record")</f>
        <v/>
      </c>
      <c r="AT802">
        <f>HYPERLINK("http://www.worldcat.org/oclc/3481935","WorldCat Record")</f>
        <v/>
      </c>
      <c r="AU802" t="inlineStr">
        <is>
          <t>147406357:eng</t>
        </is>
      </c>
      <c r="AV802" t="inlineStr">
        <is>
          <t>3481935</t>
        </is>
      </c>
      <c r="AW802" t="inlineStr">
        <is>
          <t>991004446349702656</t>
        </is>
      </c>
      <c r="AX802" t="inlineStr">
        <is>
          <t>991004446349702656</t>
        </is>
      </c>
      <c r="AY802" t="inlineStr">
        <is>
          <t>2264513070002656</t>
        </is>
      </c>
      <c r="AZ802" t="inlineStr">
        <is>
          <t>BOOK</t>
        </is>
      </c>
      <c r="BB802" t="inlineStr">
        <is>
          <t>9780121086503</t>
        </is>
      </c>
      <c r="BC802" t="inlineStr">
        <is>
          <t>32285001379402</t>
        </is>
      </c>
      <c r="BD802" t="inlineStr">
        <is>
          <t>893353399</t>
        </is>
      </c>
    </row>
    <row r="803">
      <c r="A803" t="inlineStr">
        <is>
          <t>No</t>
        </is>
      </c>
      <c r="B803" t="inlineStr">
        <is>
          <t>QD381 .M663 1985</t>
        </is>
      </c>
      <c r="C803" t="inlineStr">
        <is>
          <t>0                      QD 0381000M  663         1985</t>
        </is>
      </c>
      <c r="D803" t="inlineStr">
        <is>
          <t>Polymers : the origins and growth of a science / Herbert Morawetz.</t>
        </is>
      </c>
      <c r="F803" t="inlineStr">
        <is>
          <t>No</t>
        </is>
      </c>
      <c r="G803" t="inlineStr">
        <is>
          <t>1</t>
        </is>
      </c>
      <c r="H803" t="inlineStr">
        <is>
          <t>No</t>
        </is>
      </c>
      <c r="I803" t="inlineStr">
        <is>
          <t>No</t>
        </is>
      </c>
      <c r="J803" t="inlineStr">
        <is>
          <t>0</t>
        </is>
      </c>
      <c r="K803" t="inlineStr">
        <is>
          <t>Morawetz, Herbert.</t>
        </is>
      </c>
      <c r="L803" t="inlineStr">
        <is>
          <t>New York : Wiley, c1985.</t>
        </is>
      </c>
      <c r="M803" t="inlineStr">
        <is>
          <t>1985</t>
        </is>
      </c>
      <c r="O803" t="inlineStr">
        <is>
          <t>eng</t>
        </is>
      </c>
      <c r="P803" t="inlineStr">
        <is>
          <t>nyu</t>
        </is>
      </c>
      <c r="R803" t="inlineStr">
        <is>
          <t xml:space="preserve">QD </t>
        </is>
      </c>
      <c r="S803" t="n">
        <v>2</v>
      </c>
      <c r="T803" t="n">
        <v>2</v>
      </c>
      <c r="U803" t="inlineStr">
        <is>
          <t>1993-02-18</t>
        </is>
      </c>
      <c r="V803" t="inlineStr">
        <is>
          <t>1993-02-18</t>
        </is>
      </c>
      <c r="W803" t="inlineStr">
        <is>
          <t>1993-01-29</t>
        </is>
      </c>
      <c r="X803" t="inlineStr">
        <is>
          <t>1993-01-29</t>
        </is>
      </c>
      <c r="Y803" t="n">
        <v>584</v>
      </c>
      <c r="Z803" t="n">
        <v>488</v>
      </c>
      <c r="AA803" t="n">
        <v>563</v>
      </c>
      <c r="AB803" t="n">
        <v>5</v>
      </c>
      <c r="AC803" t="n">
        <v>5</v>
      </c>
      <c r="AD803" t="n">
        <v>17</v>
      </c>
      <c r="AE803" t="n">
        <v>21</v>
      </c>
      <c r="AF803" t="n">
        <v>5</v>
      </c>
      <c r="AG803" t="n">
        <v>7</v>
      </c>
      <c r="AH803" t="n">
        <v>4</v>
      </c>
      <c r="AI803" t="n">
        <v>5</v>
      </c>
      <c r="AJ803" t="n">
        <v>8</v>
      </c>
      <c r="AK803" t="n">
        <v>9</v>
      </c>
      <c r="AL803" t="n">
        <v>4</v>
      </c>
      <c r="AM803" t="n">
        <v>4</v>
      </c>
      <c r="AN803" t="n">
        <v>0</v>
      </c>
      <c r="AO803" t="n">
        <v>0</v>
      </c>
      <c r="AP803" t="inlineStr">
        <is>
          <t>No</t>
        </is>
      </c>
      <c r="AQ803" t="inlineStr">
        <is>
          <t>Yes</t>
        </is>
      </c>
      <c r="AR803">
        <f>HYPERLINK("http://catalog.hathitrust.org/Record/000425517","HathiTrust Record")</f>
        <v/>
      </c>
      <c r="AS803">
        <f>HYPERLINK("https://creighton-primo.hosted.exlibrisgroup.com/primo-explore/search?tab=default_tab&amp;search_scope=EVERYTHING&amp;vid=01CRU&amp;lang=en_US&amp;offset=0&amp;query=any,contains,991000543359702656","Catalog Record")</f>
        <v/>
      </c>
      <c r="AT803">
        <f>HYPERLINK("http://www.worldcat.org/oclc/11497910","WorldCat Record")</f>
        <v/>
      </c>
      <c r="AU803" t="inlineStr">
        <is>
          <t>836692781:eng</t>
        </is>
      </c>
      <c r="AV803" t="inlineStr">
        <is>
          <t>11497910</t>
        </is>
      </c>
      <c r="AW803" t="inlineStr">
        <is>
          <t>991000543359702656</t>
        </is>
      </c>
      <c r="AX803" t="inlineStr">
        <is>
          <t>991000543359702656</t>
        </is>
      </c>
      <c r="AY803" t="inlineStr">
        <is>
          <t>2262893530002656</t>
        </is>
      </c>
      <c r="AZ803" t="inlineStr">
        <is>
          <t>BOOK</t>
        </is>
      </c>
      <c r="BB803" t="inlineStr">
        <is>
          <t>9780471896388</t>
        </is>
      </c>
      <c r="BC803" t="inlineStr">
        <is>
          <t>32285001516219</t>
        </is>
      </c>
      <c r="BD803" t="inlineStr">
        <is>
          <t>893808737</t>
        </is>
      </c>
    </row>
    <row r="804">
      <c r="A804" t="inlineStr">
        <is>
          <t>No</t>
        </is>
      </c>
      <c r="B804" t="inlineStr">
        <is>
          <t>QD381 .P6</t>
        </is>
      </c>
      <c r="C804" t="inlineStr">
        <is>
          <t>0                      QD 0381000P  6</t>
        </is>
      </c>
      <c r="D804" t="inlineStr">
        <is>
          <t>Theory of helix-coil transitions in biopolymers; statistical mechanical theory of order-disorder transitions in biological macromolecules, by Douglas Poland and Harold A. Scheraga.</t>
        </is>
      </c>
      <c r="F804" t="inlineStr">
        <is>
          <t>No</t>
        </is>
      </c>
      <c r="G804" t="inlineStr">
        <is>
          <t>1</t>
        </is>
      </c>
      <c r="H804" t="inlineStr">
        <is>
          <t>No</t>
        </is>
      </c>
      <c r="I804" t="inlineStr">
        <is>
          <t>No</t>
        </is>
      </c>
      <c r="J804" t="inlineStr">
        <is>
          <t>0</t>
        </is>
      </c>
      <c r="K804" t="inlineStr">
        <is>
          <t>Poland, D. (Douglas), 1939-</t>
        </is>
      </c>
      <c r="L804" t="inlineStr">
        <is>
          <t>New York, Academic Press, 1970.</t>
        </is>
      </c>
      <c r="M804" t="inlineStr">
        <is>
          <t>1970</t>
        </is>
      </c>
      <c r="O804" t="inlineStr">
        <is>
          <t>eng</t>
        </is>
      </c>
      <c r="P804" t="inlineStr">
        <is>
          <t>nyu</t>
        </is>
      </c>
      <c r="Q804" t="inlineStr">
        <is>
          <t>Molecular biology</t>
        </is>
      </c>
      <c r="R804" t="inlineStr">
        <is>
          <t xml:space="preserve">QD </t>
        </is>
      </c>
      <c r="S804" t="n">
        <v>1</v>
      </c>
      <c r="T804" t="n">
        <v>1</v>
      </c>
      <c r="U804" t="inlineStr">
        <is>
          <t>2008-04-16</t>
        </is>
      </c>
      <c r="V804" t="inlineStr">
        <is>
          <t>2008-04-16</t>
        </is>
      </c>
      <c r="W804" t="inlineStr">
        <is>
          <t>1997-06-11</t>
        </is>
      </c>
      <c r="X804" t="inlineStr">
        <is>
          <t>1997-06-11</t>
        </is>
      </c>
      <c r="Y804" t="n">
        <v>440</v>
      </c>
      <c r="Z804" t="n">
        <v>319</v>
      </c>
      <c r="AA804" t="n">
        <v>326</v>
      </c>
      <c r="AB804" t="n">
        <v>3</v>
      </c>
      <c r="AC804" t="n">
        <v>3</v>
      </c>
      <c r="AD804" t="n">
        <v>15</v>
      </c>
      <c r="AE804" t="n">
        <v>15</v>
      </c>
      <c r="AF804" t="n">
        <v>3</v>
      </c>
      <c r="AG804" t="n">
        <v>3</v>
      </c>
      <c r="AH804" t="n">
        <v>5</v>
      </c>
      <c r="AI804" t="n">
        <v>5</v>
      </c>
      <c r="AJ804" t="n">
        <v>9</v>
      </c>
      <c r="AK804" t="n">
        <v>9</v>
      </c>
      <c r="AL804" t="n">
        <v>2</v>
      </c>
      <c r="AM804" t="n">
        <v>2</v>
      </c>
      <c r="AN804" t="n">
        <v>0</v>
      </c>
      <c r="AO804" t="n">
        <v>0</v>
      </c>
      <c r="AP804" t="inlineStr">
        <is>
          <t>No</t>
        </is>
      </c>
      <c r="AQ804" t="inlineStr">
        <is>
          <t>Yes</t>
        </is>
      </c>
      <c r="AR804">
        <f>HYPERLINK("http://catalog.hathitrust.org/Record/001112691","HathiTrust Record")</f>
        <v/>
      </c>
      <c r="AS804">
        <f>HYPERLINK("https://creighton-primo.hosted.exlibrisgroup.com/primo-explore/search?tab=default_tab&amp;search_scope=EVERYTHING&amp;vid=01CRU&amp;lang=en_US&amp;offset=0&amp;query=any,contains,991000144179702656","Catalog Record")</f>
        <v/>
      </c>
      <c r="AT804">
        <f>HYPERLINK("http://www.worldcat.org/oclc/58602","WorldCat Record")</f>
        <v/>
      </c>
      <c r="AU804" t="inlineStr">
        <is>
          <t>292803552:eng</t>
        </is>
      </c>
      <c r="AV804" t="inlineStr">
        <is>
          <t>58602</t>
        </is>
      </c>
      <c r="AW804" t="inlineStr">
        <is>
          <t>991000144179702656</t>
        </is>
      </c>
      <c r="AX804" t="inlineStr">
        <is>
          <t>991000144179702656</t>
        </is>
      </c>
      <c r="AY804" t="inlineStr">
        <is>
          <t>2260143840002656</t>
        </is>
      </c>
      <c r="AZ804" t="inlineStr">
        <is>
          <t>BOOK</t>
        </is>
      </c>
      <c r="BB804" t="inlineStr">
        <is>
          <t>9780125595506</t>
        </is>
      </c>
      <c r="BC804" t="inlineStr">
        <is>
          <t>32285002794948</t>
        </is>
      </c>
      <c r="BD804" t="inlineStr">
        <is>
          <t>893534056</t>
        </is>
      </c>
    </row>
    <row r="805">
      <c r="A805" t="inlineStr">
        <is>
          <t>No</t>
        </is>
      </c>
      <c r="B805" t="inlineStr">
        <is>
          <t>QD381 .R3</t>
        </is>
      </c>
      <c r="C805" t="inlineStr">
        <is>
          <t>0                      QD 0381000R  3</t>
        </is>
      </c>
      <c r="D805" t="inlineStr">
        <is>
          <t>Experimental methods in polymer chemistry : physical principles and applications / Jan F. Rabek.</t>
        </is>
      </c>
      <c r="F805" t="inlineStr">
        <is>
          <t>No</t>
        </is>
      </c>
      <c r="G805" t="inlineStr">
        <is>
          <t>1</t>
        </is>
      </c>
      <c r="H805" t="inlineStr">
        <is>
          <t>No</t>
        </is>
      </c>
      <c r="I805" t="inlineStr">
        <is>
          <t>No</t>
        </is>
      </c>
      <c r="J805" t="inlineStr">
        <is>
          <t>0</t>
        </is>
      </c>
      <c r="K805" t="inlineStr">
        <is>
          <t>Rabek, J. F.</t>
        </is>
      </c>
      <c r="L805" t="inlineStr">
        <is>
          <t>Chichester [Eng.] ; New York : Wiley, c1980.</t>
        </is>
      </c>
      <c r="M805" t="inlineStr">
        <is>
          <t>1980</t>
        </is>
      </c>
      <c r="O805" t="inlineStr">
        <is>
          <t>eng</t>
        </is>
      </c>
      <c r="P805" t="inlineStr">
        <is>
          <t>enk</t>
        </is>
      </c>
      <c r="R805" t="inlineStr">
        <is>
          <t xml:space="preserve">QD </t>
        </is>
      </c>
      <c r="S805" t="n">
        <v>3</v>
      </c>
      <c r="T805" t="n">
        <v>3</v>
      </c>
      <c r="U805" t="inlineStr">
        <is>
          <t>2007-09-18</t>
        </is>
      </c>
      <c r="V805" t="inlineStr">
        <is>
          <t>2007-09-18</t>
        </is>
      </c>
      <c r="W805" t="inlineStr">
        <is>
          <t>1992-04-08</t>
        </is>
      </c>
      <c r="X805" t="inlineStr">
        <is>
          <t>1992-04-08</t>
        </is>
      </c>
      <c r="Y805" t="n">
        <v>268</v>
      </c>
      <c r="Z805" t="n">
        <v>149</v>
      </c>
      <c r="AA805" t="n">
        <v>154</v>
      </c>
      <c r="AB805" t="n">
        <v>2</v>
      </c>
      <c r="AC805" t="n">
        <v>2</v>
      </c>
      <c r="AD805" t="n">
        <v>6</v>
      </c>
      <c r="AE805" t="n">
        <v>6</v>
      </c>
      <c r="AF805" t="n">
        <v>1</v>
      </c>
      <c r="AG805" t="n">
        <v>1</v>
      </c>
      <c r="AH805" t="n">
        <v>3</v>
      </c>
      <c r="AI805" t="n">
        <v>3</v>
      </c>
      <c r="AJ805" t="n">
        <v>2</v>
      </c>
      <c r="AK805" t="n">
        <v>2</v>
      </c>
      <c r="AL805" t="n">
        <v>1</v>
      </c>
      <c r="AM805" t="n">
        <v>1</v>
      </c>
      <c r="AN805" t="n">
        <v>0</v>
      </c>
      <c r="AO805" t="n">
        <v>0</v>
      </c>
      <c r="AP805" t="inlineStr">
        <is>
          <t>No</t>
        </is>
      </c>
      <c r="AQ805" t="inlineStr">
        <is>
          <t>Yes</t>
        </is>
      </c>
      <c r="AR805">
        <f>HYPERLINK("http://catalog.hathitrust.org/Record/000694476","HathiTrust Record")</f>
        <v/>
      </c>
      <c r="AS805">
        <f>HYPERLINK("https://creighton-primo.hosted.exlibrisgroup.com/primo-explore/search?tab=default_tab&amp;search_scope=EVERYTHING&amp;vid=01CRU&amp;lang=en_US&amp;offset=0&amp;query=any,contains,991004824689702656","Catalog Record")</f>
        <v/>
      </c>
      <c r="AT805">
        <f>HYPERLINK("http://www.worldcat.org/oclc/5352905","WorldCat Record")</f>
        <v/>
      </c>
      <c r="AU805" t="inlineStr">
        <is>
          <t>890856256:eng</t>
        </is>
      </c>
      <c r="AV805" t="inlineStr">
        <is>
          <t>5352905</t>
        </is>
      </c>
      <c r="AW805" t="inlineStr">
        <is>
          <t>991004824689702656</t>
        </is>
      </c>
      <c r="AX805" t="inlineStr">
        <is>
          <t>991004824689702656</t>
        </is>
      </c>
      <c r="AY805" t="inlineStr">
        <is>
          <t>2258035660002656</t>
        </is>
      </c>
      <c r="AZ805" t="inlineStr">
        <is>
          <t>BOOK</t>
        </is>
      </c>
      <c r="BB805" t="inlineStr">
        <is>
          <t>9780471276043</t>
        </is>
      </c>
      <c r="BC805" t="inlineStr">
        <is>
          <t>32285001065944</t>
        </is>
      </c>
      <c r="BD805" t="inlineStr">
        <is>
          <t>893713066</t>
        </is>
      </c>
    </row>
    <row r="806">
      <c r="A806" t="inlineStr">
        <is>
          <t>No</t>
        </is>
      </c>
      <c r="B806" t="inlineStr">
        <is>
          <t>QD381 .S635 1992</t>
        </is>
      </c>
      <c r="C806" t="inlineStr">
        <is>
          <t>0                      QD 0381000S  635         1992</t>
        </is>
      </c>
      <c r="D806" t="inlineStr">
        <is>
          <t>Introduction to physical polymer science / L.H. Sperling.</t>
        </is>
      </c>
      <c r="F806" t="inlineStr">
        <is>
          <t>No</t>
        </is>
      </c>
      <c r="G806" t="inlineStr">
        <is>
          <t>1</t>
        </is>
      </c>
      <c r="H806" t="inlineStr">
        <is>
          <t>No</t>
        </is>
      </c>
      <c r="I806" t="inlineStr">
        <is>
          <t>No</t>
        </is>
      </c>
      <c r="J806" t="inlineStr">
        <is>
          <t>0</t>
        </is>
      </c>
      <c r="K806" t="inlineStr">
        <is>
          <t>Sperling, L. H. (Leslie Howard), 1932-</t>
        </is>
      </c>
      <c r="L806" t="inlineStr">
        <is>
          <t>New York : Wiley, c1992.</t>
        </is>
      </c>
      <c r="M806" t="inlineStr">
        <is>
          <t>1992</t>
        </is>
      </c>
      <c r="N806" t="inlineStr">
        <is>
          <t>2nd ed.</t>
        </is>
      </c>
      <c r="O806" t="inlineStr">
        <is>
          <t>eng</t>
        </is>
      </c>
      <c r="P806" t="inlineStr">
        <is>
          <t>nyu</t>
        </is>
      </c>
      <c r="R806" t="inlineStr">
        <is>
          <t xml:space="preserve">QD </t>
        </is>
      </c>
      <c r="S806" t="n">
        <v>6</v>
      </c>
      <c r="T806" t="n">
        <v>6</v>
      </c>
      <c r="U806" t="inlineStr">
        <is>
          <t>2003-11-09</t>
        </is>
      </c>
      <c r="V806" t="inlineStr">
        <is>
          <t>2003-11-09</t>
        </is>
      </c>
      <c r="W806" t="inlineStr">
        <is>
          <t>1993-01-23</t>
        </is>
      </c>
      <c r="X806" t="inlineStr">
        <is>
          <t>1993-01-23</t>
        </is>
      </c>
      <c r="Y806" t="n">
        <v>295</v>
      </c>
      <c r="Z806" t="n">
        <v>201</v>
      </c>
      <c r="AA806" t="n">
        <v>588</v>
      </c>
      <c r="AB806" t="n">
        <v>2</v>
      </c>
      <c r="AC806" t="n">
        <v>4</v>
      </c>
      <c r="AD806" t="n">
        <v>7</v>
      </c>
      <c r="AE806" t="n">
        <v>18</v>
      </c>
      <c r="AF806" t="n">
        <v>1</v>
      </c>
      <c r="AG806" t="n">
        <v>3</v>
      </c>
      <c r="AH806" t="n">
        <v>2</v>
      </c>
      <c r="AI806" t="n">
        <v>4</v>
      </c>
      <c r="AJ806" t="n">
        <v>5</v>
      </c>
      <c r="AK806" t="n">
        <v>11</v>
      </c>
      <c r="AL806" t="n">
        <v>1</v>
      </c>
      <c r="AM806" t="n">
        <v>3</v>
      </c>
      <c r="AN806" t="n">
        <v>0</v>
      </c>
      <c r="AO806" t="n">
        <v>1</v>
      </c>
      <c r="AP806" t="inlineStr">
        <is>
          <t>No</t>
        </is>
      </c>
      <c r="AQ806" t="inlineStr">
        <is>
          <t>Yes</t>
        </is>
      </c>
      <c r="AR806">
        <f>HYPERLINK("http://catalog.hathitrust.org/Record/002613576","HathiTrust Record")</f>
        <v/>
      </c>
      <c r="AS806">
        <f>HYPERLINK("https://creighton-primo.hosted.exlibrisgroup.com/primo-explore/search?tab=default_tab&amp;search_scope=EVERYTHING&amp;vid=01CRU&amp;lang=en_US&amp;offset=0&amp;query=any,contains,991001965529702656","Catalog Record")</f>
        <v/>
      </c>
      <c r="AT806">
        <f>HYPERLINK("http://www.worldcat.org/oclc/24909013","WorldCat Record")</f>
        <v/>
      </c>
      <c r="AU806" t="inlineStr">
        <is>
          <t>4928139306:eng</t>
        </is>
      </c>
      <c r="AV806" t="inlineStr">
        <is>
          <t>24909013</t>
        </is>
      </c>
      <c r="AW806" t="inlineStr">
        <is>
          <t>991001965529702656</t>
        </is>
      </c>
      <c r="AX806" t="inlineStr">
        <is>
          <t>991001965529702656</t>
        </is>
      </c>
      <c r="AY806" t="inlineStr">
        <is>
          <t>2271403240002656</t>
        </is>
      </c>
      <c r="AZ806" t="inlineStr">
        <is>
          <t>BOOK</t>
        </is>
      </c>
      <c r="BB806" t="inlineStr">
        <is>
          <t>9780471530350</t>
        </is>
      </c>
      <c r="BC806" t="inlineStr">
        <is>
          <t>32285001447852</t>
        </is>
      </c>
      <c r="BD806" t="inlineStr">
        <is>
          <t>893328525</t>
        </is>
      </c>
    </row>
    <row r="807">
      <c r="A807" t="inlineStr">
        <is>
          <t>No</t>
        </is>
      </c>
      <c r="B807" t="inlineStr">
        <is>
          <t>QD381 .S73 1999</t>
        </is>
      </c>
      <c r="C807" t="inlineStr">
        <is>
          <t>0                      QD 0381000S  73          1999</t>
        </is>
      </c>
      <c r="D807" t="inlineStr">
        <is>
          <t>Polymer chemistry : an introduction / Malcolm P. Stevens.</t>
        </is>
      </c>
      <c r="F807" t="inlineStr">
        <is>
          <t>No</t>
        </is>
      </c>
      <c r="G807" t="inlineStr">
        <is>
          <t>1</t>
        </is>
      </c>
      <c r="H807" t="inlineStr">
        <is>
          <t>No</t>
        </is>
      </c>
      <c r="I807" t="inlineStr">
        <is>
          <t>No</t>
        </is>
      </c>
      <c r="J807" t="inlineStr">
        <is>
          <t>0</t>
        </is>
      </c>
      <c r="K807" t="inlineStr">
        <is>
          <t>Stevens, Malcolm P., 1934-</t>
        </is>
      </c>
      <c r="L807" t="inlineStr">
        <is>
          <t>New York : Oxford University Press, 1999.</t>
        </is>
      </c>
      <c r="M807" t="inlineStr">
        <is>
          <t>1999</t>
        </is>
      </c>
      <c r="N807" t="inlineStr">
        <is>
          <t>3rd ed.</t>
        </is>
      </c>
      <c r="O807" t="inlineStr">
        <is>
          <t>eng</t>
        </is>
      </c>
      <c r="P807" t="inlineStr">
        <is>
          <t>nyu</t>
        </is>
      </c>
      <c r="R807" t="inlineStr">
        <is>
          <t xml:space="preserve">QD </t>
        </is>
      </c>
      <c r="S807" t="n">
        <v>6</v>
      </c>
      <c r="T807" t="n">
        <v>6</v>
      </c>
      <c r="U807" t="inlineStr">
        <is>
          <t>2007-03-20</t>
        </is>
      </c>
      <c r="V807" t="inlineStr">
        <is>
          <t>2007-03-20</t>
        </is>
      </c>
      <c r="W807" t="inlineStr">
        <is>
          <t>2000-07-24</t>
        </is>
      </c>
      <c r="X807" t="inlineStr">
        <is>
          <t>2000-07-24</t>
        </is>
      </c>
      <c r="Y807" t="n">
        <v>564</v>
      </c>
      <c r="Z807" t="n">
        <v>380</v>
      </c>
      <c r="AA807" t="n">
        <v>627</v>
      </c>
      <c r="AB807" t="n">
        <v>3</v>
      </c>
      <c r="AC807" t="n">
        <v>6</v>
      </c>
      <c r="AD807" t="n">
        <v>16</v>
      </c>
      <c r="AE807" t="n">
        <v>29</v>
      </c>
      <c r="AF807" t="n">
        <v>6</v>
      </c>
      <c r="AG807" t="n">
        <v>10</v>
      </c>
      <c r="AH807" t="n">
        <v>6</v>
      </c>
      <c r="AI807" t="n">
        <v>9</v>
      </c>
      <c r="AJ807" t="n">
        <v>7</v>
      </c>
      <c r="AK807" t="n">
        <v>14</v>
      </c>
      <c r="AL807" t="n">
        <v>2</v>
      </c>
      <c r="AM807" t="n">
        <v>5</v>
      </c>
      <c r="AN807" t="n">
        <v>0</v>
      </c>
      <c r="AO807" t="n">
        <v>0</v>
      </c>
      <c r="AP807" t="inlineStr">
        <is>
          <t>No</t>
        </is>
      </c>
      <c r="AQ807" t="inlineStr">
        <is>
          <t>No</t>
        </is>
      </c>
      <c r="AS807">
        <f>HYPERLINK("https://creighton-primo.hosted.exlibrisgroup.com/primo-explore/search?tab=default_tab&amp;search_scope=EVERYTHING&amp;vid=01CRU&amp;lang=en_US&amp;offset=0&amp;query=any,contains,991003214679702656","Catalog Record")</f>
        <v/>
      </c>
      <c r="AT807">
        <f>HYPERLINK("http://www.worldcat.org/oclc/39051030","WorldCat Record")</f>
        <v/>
      </c>
      <c r="AU807" t="inlineStr">
        <is>
          <t>3901089642:eng</t>
        </is>
      </c>
      <c r="AV807" t="inlineStr">
        <is>
          <t>39051030</t>
        </is>
      </c>
      <c r="AW807" t="inlineStr">
        <is>
          <t>991003214679702656</t>
        </is>
      </c>
      <c r="AX807" t="inlineStr">
        <is>
          <t>991003214679702656</t>
        </is>
      </c>
      <c r="AY807" t="inlineStr">
        <is>
          <t>2256561010002656</t>
        </is>
      </c>
      <c r="AZ807" t="inlineStr">
        <is>
          <t>BOOK</t>
        </is>
      </c>
      <c r="BB807" t="inlineStr">
        <is>
          <t>9780195124446</t>
        </is>
      </c>
      <c r="BC807" t="inlineStr">
        <is>
          <t>32285003741823</t>
        </is>
      </c>
      <c r="BD807" t="inlineStr">
        <is>
          <t>893880926</t>
        </is>
      </c>
    </row>
    <row r="808">
      <c r="A808" t="inlineStr">
        <is>
          <t>No</t>
        </is>
      </c>
      <c r="B808" t="inlineStr">
        <is>
          <t>QD381 .T65 2001</t>
        </is>
      </c>
      <c r="C808" t="inlineStr">
        <is>
          <t>0                      QD 0381000T  65          2001</t>
        </is>
      </c>
      <c r="D808" t="inlineStr">
        <is>
          <t>Polymers from the inside out : an introduction to macromolecules / Alan E. Tonelli with Mohan Srinivasarao.</t>
        </is>
      </c>
      <c r="F808" t="inlineStr">
        <is>
          <t>No</t>
        </is>
      </c>
      <c r="G808" t="inlineStr">
        <is>
          <t>1</t>
        </is>
      </c>
      <c r="H808" t="inlineStr">
        <is>
          <t>No</t>
        </is>
      </c>
      <c r="I808" t="inlineStr">
        <is>
          <t>No</t>
        </is>
      </c>
      <c r="J808" t="inlineStr">
        <is>
          <t>0</t>
        </is>
      </c>
      <c r="K808" t="inlineStr">
        <is>
          <t>Tonelli, Alan E.</t>
        </is>
      </c>
      <c r="L808" t="inlineStr">
        <is>
          <t>New York : Wiley-Interscience, c2001.</t>
        </is>
      </c>
      <c r="M808" t="inlineStr">
        <is>
          <t>2001</t>
        </is>
      </c>
      <c r="O808" t="inlineStr">
        <is>
          <t>eng</t>
        </is>
      </c>
      <c r="P808" t="inlineStr">
        <is>
          <t>nyu</t>
        </is>
      </c>
      <c r="R808" t="inlineStr">
        <is>
          <t xml:space="preserve">QD </t>
        </is>
      </c>
      <c r="S808" t="n">
        <v>6</v>
      </c>
      <c r="T808" t="n">
        <v>6</v>
      </c>
      <c r="U808" t="inlineStr">
        <is>
          <t>2006-06-12</t>
        </is>
      </c>
      <c r="V808" t="inlineStr">
        <is>
          <t>2006-06-12</t>
        </is>
      </c>
      <c r="W808" t="inlineStr">
        <is>
          <t>2002-04-11</t>
        </is>
      </c>
      <c r="X808" t="inlineStr">
        <is>
          <t>2002-04-11</t>
        </is>
      </c>
      <c r="Y808" t="n">
        <v>420</v>
      </c>
      <c r="Z808" t="n">
        <v>344</v>
      </c>
      <c r="AA808" t="n">
        <v>346</v>
      </c>
      <c r="AB808" t="n">
        <v>2</v>
      </c>
      <c r="AC808" t="n">
        <v>2</v>
      </c>
      <c r="AD808" t="n">
        <v>17</v>
      </c>
      <c r="AE808" t="n">
        <v>17</v>
      </c>
      <c r="AF808" t="n">
        <v>6</v>
      </c>
      <c r="AG808" t="n">
        <v>6</v>
      </c>
      <c r="AH808" t="n">
        <v>5</v>
      </c>
      <c r="AI808" t="n">
        <v>5</v>
      </c>
      <c r="AJ808" t="n">
        <v>7</v>
      </c>
      <c r="AK808" t="n">
        <v>7</v>
      </c>
      <c r="AL808" t="n">
        <v>1</v>
      </c>
      <c r="AM808" t="n">
        <v>1</v>
      </c>
      <c r="AN808" t="n">
        <v>0</v>
      </c>
      <c r="AO808" t="n">
        <v>0</v>
      </c>
      <c r="AP808" t="inlineStr">
        <is>
          <t>No</t>
        </is>
      </c>
      <c r="AQ808" t="inlineStr">
        <is>
          <t>Yes</t>
        </is>
      </c>
      <c r="AR808">
        <f>HYPERLINK("http://catalog.hathitrust.org/Record/004174244","HathiTrust Record")</f>
        <v/>
      </c>
      <c r="AS808">
        <f>HYPERLINK("https://creighton-primo.hosted.exlibrisgroup.com/primo-explore/search?tab=default_tab&amp;search_scope=EVERYTHING&amp;vid=01CRU&amp;lang=en_US&amp;offset=0&amp;query=any,contains,991003735259702656","Catalog Record")</f>
        <v/>
      </c>
      <c r="AT808">
        <f>HYPERLINK("http://www.worldcat.org/oclc/45058689","WorldCat Record")</f>
        <v/>
      </c>
      <c r="AU808" t="inlineStr">
        <is>
          <t>323239086:eng</t>
        </is>
      </c>
      <c r="AV808" t="inlineStr">
        <is>
          <t>45058689</t>
        </is>
      </c>
      <c r="AW808" t="inlineStr">
        <is>
          <t>991003735259702656</t>
        </is>
      </c>
      <c r="AX808" t="inlineStr">
        <is>
          <t>991003735259702656</t>
        </is>
      </c>
      <c r="AY808" t="inlineStr">
        <is>
          <t>2259532710002656</t>
        </is>
      </c>
      <c r="AZ808" t="inlineStr">
        <is>
          <t>BOOK</t>
        </is>
      </c>
      <c r="BB808" t="inlineStr">
        <is>
          <t>9780471381389</t>
        </is>
      </c>
      <c r="BC808" t="inlineStr">
        <is>
          <t>32285004479290</t>
        </is>
      </c>
      <c r="BD808" t="inlineStr">
        <is>
          <t>893429141</t>
        </is>
      </c>
    </row>
    <row r="809">
      <c r="A809" t="inlineStr">
        <is>
          <t>No</t>
        </is>
      </c>
      <c r="B809" t="inlineStr">
        <is>
          <t>QD381 .T74</t>
        </is>
      </c>
      <c r="C809" t="inlineStr">
        <is>
          <t>0                      QD 0381000T  74</t>
        </is>
      </c>
      <c r="D809" t="inlineStr">
        <is>
          <t>Introduction to polymer science / [by] L. R. G. Treloar.</t>
        </is>
      </c>
      <c r="F809" t="inlineStr">
        <is>
          <t>No</t>
        </is>
      </c>
      <c r="G809" t="inlineStr">
        <is>
          <t>1</t>
        </is>
      </c>
      <c r="H809" t="inlineStr">
        <is>
          <t>No</t>
        </is>
      </c>
      <c r="I809" t="inlineStr">
        <is>
          <t>No</t>
        </is>
      </c>
      <c r="J809" t="inlineStr">
        <is>
          <t>0</t>
        </is>
      </c>
      <c r="K809" t="inlineStr">
        <is>
          <t>Treloar, L. R. G.</t>
        </is>
      </c>
      <c r="L809" t="inlineStr">
        <is>
          <t>London : Wykeham Publications ; New York : Springer-Verlag, 1970.</t>
        </is>
      </c>
      <c r="M809" t="inlineStr">
        <is>
          <t>1970</t>
        </is>
      </c>
      <c r="O809" t="inlineStr">
        <is>
          <t>eng</t>
        </is>
      </c>
      <c r="P809" t="inlineStr">
        <is>
          <t>enk</t>
        </is>
      </c>
      <c r="Q809" t="inlineStr">
        <is>
          <t>The Wykeham science series for schools and universities ; 9</t>
        </is>
      </c>
      <c r="R809" t="inlineStr">
        <is>
          <t xml:space="preserve">QD </t>
        </is>
      </c>
      <c r="S809" t="n">
        <v>5</v>
      </c>
      <c r="T809" t="n">
        <v>5</v>
      </c>
      <c r="U809" t="inlineStr">
        <is>
          <t>2003-11-09</t>
        </is>
      </c>
      <c r="V809" t="inlineStr">
        <is>
          <t>2003-11-09</t>
        </is>
      </c>
      <c r="W809" t="inlineStr">
        <is>
          <t>1992-04-26</t>
        </is>
      </c>
      <c r="X809" t="inlineStr">
        <is>
          <t>1992-04-26</t>
        </is>
      </c>
      <c r="Y809" t="n">
        <v>353</v>
      </c>
      <c r="Z809" t="n">
        <v>229</v>
      </c>
      <c r="AA809" t="n">
        <v>254</v>
      </c>
      <c r="AB809" t="n">
        <v>2</v>
      </c>
      <c r="AC809" t="n">
        <v>2</v>
      </c>
      <c r="AD809" t="n">
        <v>8</v>
      </c>
      <c r="AE809" t="n">
        <v>8</v>
      </c>
      <c r="AF809" t="n">
        <v>1</v>
      </c>
      <c r="AG809" t="n">
        <v>1</v>
      </c>
      <c r="AH809" t="n">
        <v>2</v>
      </c>
      <c r="AI809" t="n">
        <v>2</v>
      </c>
      <c r="AJ809" t="n">
        <v>6</v>
      </c>
      <c r="AK809" t="n">
        <v>6</v>
      </c>
      <c r="AL809" t="n">
        <v>1</v>
      </c>
      <c r="AM809" t="n">
        <v>1</v>
      </c>
      <c r="AN809" t="n">
        <v>0</v>
      </c>
      <c r="AO809" t="n">
        <v>0</v>
      </c>
      <c r="AP809" t="inlineStr">
        <is>
          <t>No</t>
        </is>
      </c>
      <c r="AQ809" t="inlineStr">
        <is>
          <t>No</t>
        </is>
      </c>
      <c r="AS809">
        <f>HYPERLINK("https://creighton-primo.hosted.exlibrisgroup.com/primo-explore/search?tab=default_tab&amp;search_scope=EVERYTHING&amp;vid=01CRU&amp;lang=en_US&amp;offset=0&amp;query=any,contains,991000606969702656","Catalog Record")</f>
        <v/>
      </c>
      <c r="AT809">
        <f>HYPERLINK("http://www.worldcat.org/oclc/99406","WorldCat Record")</f>
        <v/>
      </c>
      <c r="AU809" t="inlineStr">
        <is>
          <t>1332960:eng</t>
        </is>
      </c>
      <c r="AV809" t="inlineStr">
        <is>
          <t>99406</t>
        </is>
      </c>
      <c r="AW809" t="inlineStr">
        <is>
          <t>991000606969702656</t>
        </is>
      </c>
      <c r="AX809" t="inlineStr">
        <is>
          <t>991000606969702656</t>
        </is>
      </c>
      <c r="AY809" t="inlineStr">
        <is>
          <t>2269091440002656</t>
        </is>
      </c>
      <c r="AZ809" t="inlineStr">
        <is>
          <t>BOOK</t>
        </is>
      </c>
      <c r="BB809" t="inlineStr">
        <is>
          <t>9780851091006</t>
        </is>
      </c>
      <c r="BC809" t="inlineStr">
        <is>
          <t>32285001087393</t>
        </is>
      </c>
      <c r="BD809" t="inlineStr">
        <is>
          <t>893778066</t>
        </is>
      </c>
    </row>
    <row r="810">
      <c r="A810" t="inlineStr">
        <is>
          <t>No</t>
        </is>
      </c>
      <c r="B810" t="inlineStr">
        <is>
          <t>QD381 .W34</t>
        </is>
      </c>
      <c r="C810" t="inlineStr">
        <is>
          <t>0                      QD 0381000W  34</t>
        </is>
      </c>
      <c r="D810" t="inlineStr">
        <is>
          <t>Biopolymers [by] Alan G. Walton and John Blackwell. With a contribution by Stephen H. Carr.</t>
        </is>
      </c>
      <c r="F810" t="inlineStr">
        <is>
          <t>No</t>
        </is>
      </c>
      <c r="G810" t="inlineStr">
        <is>
          <t>1</t>
        </is>
      </c>
      <c r="H810" t="inlineStr">
        <is>
          <t>No</t>
        </is>
      </c>
      <c r="I810" t="inlineStr">
        <is>
          <t>No</t>
        </is>
      </c>
      <c r="J810" t="inlineStr">
        <is>
          <t>0</t>
        </is>
      </c>
      <c r="K810" t="inlineStr">
        <is>
          <t>Walton, Alan G.</t>
        </is>
      </c>
      <c r="L810" t="inlineStr">
        <is>
          <t>New York, Academic Press, 1973.</t>
        </is>
      </c>
      <c r="M810" t="inlineStr">
        <is>
          <t>1973</t>
        </is>
      </c>
      <c r="O810" t="inlineStr">
        <is>
          <t>eng</t>
        </is>
      </c>
      <c r="P810" t="inlineStr">
        <is>
          <t>nyu</t>
        </is>
      </c>
      <c r="Q810" t="inlineStr">
        <is>
          <t>Molecular biology</t>
        </is>
      </c>
      <c r="R810" t="inlineStr">
        <is>
          <t xml:space="preserve">QD </t>
        </is>
      </c>
      <c r="S810" t="n">
        <v>4</v>
      </c>
      <c r="T810" t="n">
        <v>4</v>
      </c>
      <c r="U810" t="inlineStr">
        <is>
          <t>1995-10-24</t>
        </is>
      </c>
      <c r="V810" t="inlineStr">
        <is>
          <t>1995-10-24</t>
        </is>
      </c>
      <c r="W810" t="inlineStr">
        <is>
          <t>1992-10-14</t>
        </is>
      </c>
      <c r="X810" t="inlineStr">
        <is>
          <t>1992-10-14</t>
        </is>
      </c>
      <c r="Y810" t="n">
        <v>473</v>
      </c>
      <c r="Z810" t="n">
        <v>344</v>
      </c>
      <c r="AA810" t="n">
        <v>387</v>
      </c>
      <c r="AB810" t="n">
        <v>2</v>
      </c>
      <c r="AC810" t="n">
        <v>3</v>
      </c>
      <c r="AD810" t="n">
        <v>11</v>
      </c>
      <c r="AE810" t="n">
        <v>15</v>
      </c>
      <c r="AF810" t="n">
        <v>3</v>
      </c>
      <c r="AG810" t="n">
        <v>5</v>
      </c>
      <c r="AH810" t="n">
        <v>4</v>
      </c>
      <c r="AI810" t="n">
        <v>6</v>
      </c>
      <c r="AJ810" t="n">
        <v>6</v>
      </c>
      <c r="AK810" t="n">
        <v>6</v>
      </c>
      <c r="AL810" t="n">
        <v>1</v>
      </c>
      <c r="AM810" t="n">
        <v>2</v>
      </c>
      <c r="AN810" t="n">
        <v>0</v>
      </c>
      <c r="AO810" t="n">
        <v>0</v>
      </c>
      <c r="AP810" t="inlineStr">
        <is>
          <t>No</t>
        </is>
      </c>
      <c r="AQ810" t="inlineStr">
        <is>
          <t>Yes</t>
        </is>
      </c>
      <c r="AR810">
        <f>HYPERLINK("http://catalog.hathitrust.org/Record/001113820","HathiTrust Record")</f>
        <v/>
      </c>
      <c r="AS810">
        <f>HYPERLINK("https://creighton-primo.hosted.exlibrisgroup.com/primo-explore/search?tab=default_tab&amp;search_scope=EVERYTHING&amp;vid=01CRU&amp;lang=en_US&amp;offset=0&amp;query=any,contains,991003190179702656","Catalog Record")</f>
        <v/>
      </c>
      <c r="AT810">
        <f>HYPERLINK("http://www.worldcat.org/oclc/715446","WorldCat Record")</f>
        <v/>
      </c>
      <c r="AU810" t="inlineStr">
        <is>
          <t>1683816:eng</t>
        </is>
      </c>
      <c r="AV810" t="inlineStr">
        <is>
          <t>715446</t>
        </is>
      </c>
      <c r="AW810" t="inlineStr">
        <is>
          <t>991003190179702656</t>
        </is>
      </c>
      <c r="AX810" t="inlineStr">
        <is>
          <t>991003190179702656</t>
        </is>
      </c>
      <c r="AY810" t="inlineStr">
        <is>
          <t>2256978950002656</t>
        </is>
      </c>
      <c r="AZ810" t="inlineStr">
        <is>
          <t>BOOK</t>
        </is>
      </c>
      <c r="BC810" t="inlineStr">
        <is>
          <t>32285001369924</t>
        </is>
      </c>
      <c r="BD810" t="inlineStr">
        <is>
          <t>893874514</t>
        </is>
      </c>
    </row>
    <row r="811">
      <c r="A811" t="inlineStr">
        <is>
          <t>No</t>
        </is>
      </c>
      <c r="B811" t="inlineStr">
        <is>
          <t>QD381.7 .P38 2007</t>
        </is>
      </c>
      <c r="C811" t="inlineStr">
        <is>
          <t>0                      QD 0381700P  38          2007</t>
        </is>
      </c>
      <c r="D811" t="inlineStr">
        <is>
          <t>Physical chemistry of macromolecules / Gary Patterson.</t>
        </is>
      </c>
      <c r="F811" t="inlineStr">
        <is>
          <t>No</t>
        </is>
      </c>
      <c r="G811" t="inlineStr">
        <is>
          <t>1</t>
        </is>
      </c>
      <c r="H811" t="inlineStr">
        <is>
          <t>No</t>
        </is>
      </c>
      <c r="I811" t="inlineStr">
        <is>
          <t>No</t>
        </is>
      </c>
      <c r="J811" t="inlineStr">
        <is>
          <t>0</t>
        </is>
      </c>
      <c r="K811" t="inlineStr">
        <is>
          <t>Patterson, Gary (Gary B.)</t>
        </is>
      </c>
      <c r="L811" t="inlineStr">
        <is>
          <t>Boca Raton : CRC Press, c2007.</t>
        </is>
      </c>
      <c r="M811" t="inlineStr">
        <is>
          <t>2007</t>
        </is>
      </c>
      <c r="O811" t="inlineStr">
        <is>
          <t>eng</t>
        </is>
      </c>
      <c r="P811" t="inlineStr">
        <is>
          <t>flu</t>
        </is>
      </c>
      <c r="R811" t="inlineStr">
        <is>
          <t xml:space="preserve">QD </t>
        </is>
      </c>
      <c r="S811" t="n">
        <v>1</v>
      </c>
      <c r="T811" t="n">
        <v>1</v>
      </c>
      <c r="U811" t="inlineStr">
        <is>
          <t>2008-04-16</t>
        </is>
      </c>
      <c r="V811" t="inlineStr">
        <is>
          <t>2008-04-16</t>
        </is>
      </c>
      <c r="W811" t="inlineStr">
        <is>
          <t>2008-04-16</t>
        </is>
      </c>
      <c r="X811" t="inlineStr">
        <is>
          <t>2008-04-16</t>
        </is>
      </c>
      <c r="Y811" t="n">
        <v>327</v>
      </c>
      <c r="Z811" t="n">
        <v>239</v>
      </c>
      <c r="AA811" t="n">
        <v>265</v>
      </c>
      <c r="AB811" t="n">
        <v>2</v>
      </c>
      <c r="AC811" t="n">
        <v>2</v>
      </c>
      <c r="AD811" t="n">
        <v>19</v>
      </c>
      <c r="AE811" t="n">
        <v>19</v>
      </c>
      <c r="AF811" t="n">
        <v>8</v>
      </c>
      <c r="AG811" t="n">
        <v>8</v>
      </c>
      <c r="AH811" t="n">
        <v>4</v>
      </c>
      <c r="AI811" t="n">
        <v>4</v>
      </c>
      <c r="AJ811" t="n">
        <v>11</v>
      </c>
      <c r="AK811" t="n">
        <v>11</v>
      </c>
      <c r="AL811" t="n">
        <v>1</v>
      </c>
      <c r="AM811" t="n">
        <v>1</v>
      </c>
      <c r="AN811" t="n">
        <v>0</v>
      </c>
      <c r="AO811" t="n">
        <v>0</v>
      </c>
      <c r="AP811" t="inlineStr">
        <is>
          <t>No</t>
        </is>
      </c>
      <c r="AQ811" t="inlineStr">
        <is>
          <t>No</t>
        </is>
      </c>
      <c r="AS811">
        <f>HYPERLINK("https://creighton-primo.hosted.exlibrisgroup.com/primo-explore/search?tab=default_tab&amp;search_scope=EVERYTHING&amp;vid=01CRU&amp;lang=en_US&amp;offset=0&amp;query=any,contains,991005200699702656","Catalog Record")</f>
        <v/>
      </c>
      <c r="AT811">
        <f>HYPERLINK("http://www.worldcat.org/oclc/71507671","WorldCat Record")</f>
        <v/>
      </c>
      <c r="AU811" t="inlineStr">
        <is>
          <t>3943854184:eng</t>
        </is>
      </c>
      <c r="AV811" t="inlineStr">
        <is>
          <t>71507671</t>
        </is>
      </c>
      <c r="AW811" t="inlineStr">
        <is>
          <t>991005200699702656</t>
        </is>
      </c>
      <c r="AX811" t="inlineStr">
        <is>
          <t>991005200699702656</t>
        </is>
      </c>
      <c r="AY811" t="inlineStr">
        <is>
          <t>2266135650002656</t>
        </is>
      </c>
      <c r="AZ811" t="inlineStr">
        <is>
          <t>BOOK</t>
        </is>
      </c>
      <c r="BB811" t="inlineStr">
        <is>
          <t>9780824794675</t>
        </is>
      </c>
      <c r="BC811" t="inlineStr">
        <is>
          <t>32285005402796</t>
        </is>
      </c>
      <c r="BD811" t="inlineStr">
        <is>
          <t>893230357</t>
        </is>
      </c>
    </row>
    <row r="812">
      <c r="A812" t="inlineStr">
        <is>
          <t>No</t>
        </is>
      </c>
      <c r="B812" t="inlineStr">
        <is>
          <t>QD381.8 .S36 1981</t>
        </is>
      </c>
      <c r="C812" t="inlineStr">
        <is>
          <t>0                      QD 0381800S  36          1981</t>
        </is>
      </c>
      <c r="D812" t="inlineStr">
        <is>
          <t>Polymer degradation : principles and practical applications / W. Schnabel.</t>
        </is>
      </c>
      <c r="F812" t="inlineStr">
        <is>
          <t>No</t>
        </is>
      </c>
      <c r="G812" t="inlineStr">
        <is>
          <t>1</t>
        </is>
      </c>
      <c r="H812" t="inlineStr">
        <is>
          <t>No</t>
        </is>
      </c>
      <c r="I812" t="inlineStr">
        <is>
          <t>No</t>
        </is>
      </c>
      <c r="J812" t="inlineStr">
        <is>
          <t>0</t>
        </is>
      </c>
      <c r="K812" t="inlineStr">
        <is>
          <t>Schnabel, W. (Wolfram)</t>
        </is>
      </c>
      <c r="L812" t="inlineStr">
        <is>
          <t>Munich : Hanser International ; New York : Distributed in the United States by Macmillan ; Toronto : Distributed in Canada by Collier Macmillan Canada, c1981.</t>
        </is>
      </c>
      <c r="M812" t="inlineStr">
        <is>
          <t>1981</t>
        </is>
      </c>
      <c r="O812" t="inlineStr">
        <is>
          <t>eng</t>
        </is>
      </c>
      <c r="P812" t="inlineStr">
        <is>
          <t xml:space="preserve">gw </t>
        </is>
      </c>
      <c r="R812" t="inlineStr">
        <is>
          <t xml:space="preserve">QD </t>
        </is>
      </c>
      <c r="S812" t="n">
        <v>3</v>
      </c>
      <c r="T812" t="n">
        <v>3</v>
      </c>
      <c r="U812" t="inlineStr">
        <is>
          <t>2006-07-09</t>
        </is>
      </c>
      <c r="V812" t="inlineStr">
        <is>
          <t>2006-07-09</t>
        </is>
      </c>
      <c r="W812" t="inlineStr">
        <is>
          <t>1993-02-01</t>
        </is>
      </c>
      <c r="X812" t="inlineStr">
        <is>
          <t>1993-02-01</t>
        </is>
      </c>
      <c r="Y812" t="n">
        <v>405</v>
      </c>
      <c r="Z812" t="n">
        <v>304</v>
      </c>
      <c r="AA812" t="n">
        <v>335</v>
      </c>
      <c r="AB812" t="n">
        <v>2</v>
      </c>
      <c r="AC812" t="n">
        <v>2</v>
      </c>
      <c r="AD812" t="n">
        <v>8</v>
      </c>
      <c r="AE812" t="n">
        <v>11</v>
      </c>
      <c r="AF812" t="n">
        <v>4</v>
      </c>
      <c r="AG812" t="n">
        <v>5</v>
      </c>
      <c r="AH812" t="n">
        <v>3</v>
      </c>
      <c r="AI812" t="n">
        <v>4</v>
      </c>
      <c r="AJ812" t="n">
        <v>2</v>
      </c>
      <c r="AK812" t="n">
        <v>5</v>
      </c>
      <c r="AL812" t="n">
        <v>1</v>
      </c>
      <c r="AM812" t="n">
        <v>1</v>
      </c>
      <c r="AN812" t="n">
        <v>0</v>
      </c>
      <c r="AO812" t="n">
        <v>0</v>
      </c>
      <c r="AP812" t="inlineStr">
        <is>
          <t>No</t>
        </is>
      </c>
      <c r="AQ812" t="inlineStr">
        <is>
          <t>Yes</t>
        </is>
      </c>
      <c r="AR812">
        <f>HYPERLINK("http://catalog.hathitrust.org/Record/000281905","HathiTrust Record")</f>
        <v/>
      </c>
      <c r="AS812">
        <f>HYPERLINK("https://creighton-primo.hosted.exlibrisgroup.com/primo-explore/search?tab=default_tab&amp;search_scope=EVERYTHING&amp;vid=01CRU&amp;lang=en_US&amp;offset=0&amp;query=any,contains,991005234299702656","Catalog Record")</f>
        <v/>
      </c>
      <c r="AT812">
        <f>HYPERLINK("http://www.worldcat.org/oclc/8358684","WorldCat Record")</f>
        <v/>
      </c>
      <c r="AU812" t="inlineStr">
        <is>
          <t>793897755:eng</t>
        </is>
      </c>
      <c r="AV812" t="inlineStr">
        <is>
          <t>8358684</t>
        </is>
      </c>
      <c r="AW812" t="inlineStr">
        <is>
          <t>991005234299702656</t>
        </is>
      </c>
      <c r="AX812" t="inlineStr">
        <is>
          <t>991005234299702656</t>
        </is>
      </c>
      <c r="AY812" t="inlineStr">
        <is>
          <t>2260384230002656</t>
        </is>
      </c>
      <c r="AZ812" t="inlineStr">
        <is>
          <t>BOOK</t>
        </is>
      </c>
      <c r="BB812" t="inlineStr">
        <is>
          <t>9780029496404</t>
        </is>
      </c>
      <c r="BC812" t="inlineStr">
        <is>
          <t>32285001516326</t>
        </is>
      </c>
      <c r="BD812" t="inlineStr">
        <is>
          <t>893777077</t>
        </is>
      </c>
    </row>
    <row r="813">
      <c r="A813" t="inlineStr">
        <is>
          <t>No</t>
        </is>
      </c>
      <c r="B813" t="inlineStr">
        <is>
          <t>QD381.9.E4 C67 1991</t>
        </is>
      </c>
      <c r="C813" t="inlineStr">
        <is>
          <t>0                      QD 0381900E  4                  C  67          1991</t>
        </is>
      </c>
      <c r="D813" t="inlineStr">
        <is>
          <t>Computer simulation of polymers / R.J. Roe, editor.</t>
        </is>
      </c>
      <c r="F813" t="inlineStr">
        <is>
          <t>No</t>
        </is>
      </c>
      <c r="G813" t="inlineStr">
        <is>
          <t>1</t>
        </is>
      </c>
      <c r="H813" t="inlineStr">
        <is>
          <t>No</t>
        </is>
      </c>
      <c r="I813" t="inlineStr">
        <is>
          <t>No</t>
        </is>
      </c>
      <c r="J813" t="inlineStr">
        <is>
          <t>0</t>
        </is>
      </c>
      <c r="L813" t="inlineStr">
        <is>
          <t>Englewood Cliffs, N.J. : Prentice Hall, c1991.</t>
        </is>
      </c>
      <c r="M813" t="inlineStr">
        <is>
          <t>1991</t>
        </is>
      </c>
      <c r="O813" t="inlineStr">
        <is>
          <t>eng</t>
        </is>
      </c>
      <c r="P813" t="inlineStr">
        <is>
          <t>nju</t>
        </is>
      </c>
      <c r="Q813" t="inlineStr">
        <is>
          <t>Prentice Hall advanced reference series. Physical and life sciences</t>
        </is>
      </c>
      <c r="R813" t="inlineStr">
        <is>
          <t xml:space="preserve">QD </t>
        </is>
      </c>
      <c r="S813" t="n">
        <v>0</v>
      </c>
      <c r="T813" t="n">
        <v>0</v>
      </c>
      <c r="U813" t="inlineStr">
        <is>
          <t>2007-05-18</t>
        </is>
      </c>
      <c r="V813" t="inlineStr">
        <is>
          <t>2007-05-18</t>
        </is>
      </c>
      <c r="W813" t="inlineStr">
        <is>
          <t>1991-05-13</t>
        </is>
      </c>
      <c r="X813" t="inlineStr">
        <is>
          <t>1991-05-13</t>
        </is>
      </c>
      <c r="Y813" t="n">
        <v>182</v>
      </c>
      <c r="Z813" t="n">
        <v>134</v>
      </c>
      <c r="AA813" t="n">
        <v>134</v>
      </c>
      <c r="AB813" t="n">
        <v>2</v>
      </c>
      <c r="AC813" t="n">
        <v>2</v>
      </c>
      <c r="AD813" t="n">
        <v>5</v>
      </c>
      <c r="AE813" t="n">
        <v>5</v>
      </c>
      <c r="AF813" t="n">
        <v>1</v>
      </c>
      <c r="AG813" t="n">
        <v>1</v>
      </c>
      <c r="AH813" t="n">
        <v>1</v>
      </c>
      <c r="AI813" t="n">
        <v>1</v>
      </c>
      <c r="AJ813" t="n">
        <v>3</v>
      </c>
      <c r="AK813" t="n">
        <v>3</v>
      </c>
      <c r="AL813" t="n">
        <v>1</v>
      </c>
      <c r="AM813" t="n">
        <v>1</v>
      </c>
      <c r="AN813" t="n">
        <v>0</v>
      </c>
      <c r="AO813" t="n">
        <v>0</v>
      </c>
      <c r="AP813" t="inlineStr">
        <is>
          <t>No</t>
        </is>
      </c>
      <c r="AQ813" t="inlineStr">
        <is>
          <t>No</t>
        </is>
      </c>
      <c r="AS813">
        <f>HYPERLINK("https://creighton-primo.hosted.exlibrisgroup.com/primo-explore/search?tab=default_tab&amp;search_scope=EVERYTHING&amp;vid=01CRU&amp;lang=en_US&amp;offset=0&amp;query=any,contains,991001727479702656","Catalog Record")</f>
        <v/>
      </c>
      <c r="AT813">
        <f>HYPERLINK("http://www.worldcat.org/oclc/21901594","WorldCat Record")</f>
        <v/>
      </c>
      <c r="AU813" t="inlineStr">
        <is>
          <t>350362970:eng</t>
        </is>
      </c>
      <c r="AV813" t="inlineStr">
        <is>
          <t>21901594</t>
        </is>
      </c>
      <c r="AW813" t="inlineStr">
        <is>
          <t>991001727479702656</t>
        </is>
      </c>
      <c r="AX813" t="inlineStr">
        <is>
          <t>991001727479702656</t>
        </is>
      </c>
      <c r="AY813" t="inlineStr">
        <is>
          <t>2258927520002656</t>
        </is>
      </c>
      <c r="AZ813" t="inlineStr">
        <is>
          <t>BOOK</t>
        </is>
      </c>
      <c r="BB813" t="inlineStr">
        <is>
          <t>9780131614802</t>
        </is>
      </c>
      <c r="BC813" t="inlineStr">
        <is>
          <t>32285000572080</t>
        </is>
      </c>
      <c r="BD813" t="inlineStr">
        <is>
          <t>893244338</t>
        </is>
      </c>
    </row>
    <row r="814">
      <c r="A814" t="inlineStr">
        <is>
          <t>No</t>
        </is>
      </c>
      <c r="B814" t="inlineStr">
        <is>
          <t>QD381.9.P56 R34 1990</t>
        </is>
      </c>
      <c r="C814" t="inlineStr">
        <is>
          <t>0                      QD 0381900P  56                 R  34          1990</t>
        </is>
      </c>
      <c r="D814" t="inlineStr">
        <is>
          <t>Photostabilization of polymers : principles and applications / J.F. Rabek.</t>
        </is>
      </c>
      <c r="F814" t="inlineStr">
        <is>
          <t>No</t>
        </is>
      </c>
      <c r="G814" t="inlineStr">
        <is>
          <t>1</t>
        </is>
      </c>
      <c r="H814" t="inlineStr">
        <is>
          <t>No</t>
        </is>
      </c>
      <c r="I814" t="inlineStr">
        <is>
          <t>No</t>
        </is>
      </c>
      <c r="J814" t="inlineStr">
        <is>
          <t>0</t>
        </is>
      </c>
      <c r="K814" t="inlineStr">
        <is>
          <t>Rabek, J. F.</t>
        </is>
      </c>
      <c r="L814" t="inlineStr">
        <is>
          <t>London ; New York : Elsevier Applied Science, c1990.</t>
        </is>
      </c>
      <c r="M814" t="inlineStr">
        <is>
          <t>1990</t>
        </is>
      </c>
      <c r="O814" t="inlineStr">
        <is>
          <t>eng</t>
        </is>
      </c>
      <c r="P814" t="inlineStr">
        <is>
          <t>enk</t>
        </is>
      </c>
      <c r="R814" t="inlineStr">
        <is>
          <t xml:space="preserve">QD </t>
        </is>
      </c>
      <c r="S814" t="n">
        <v>0</v>
      </c>
      <c r="T814" t="n">
        <v>0</v>
      </c>
      <c r="U814" t="inlineStr">
        <is>
          <t>2008-09-11</t>
        </is>
      </c>
      <c r="V814" t="inlineStr">
        <is>
          <t>2008-09-11</t>
        </is>
      </c>
      <c r="W814" t="inlineStr">
        <is>
          <t>1990-12-28</t>
        </is>
      </c>
      <c r="X814" t="inlineStr">
        <is>
          <t>1990-12-28</t>
        </is>
      </c>
      <c r="Y814" t="n">
        <v>119</v>
      </c>
      <c r="Z814" t="n">
        <v>73</v>
      </c>
      <c r="AA814" t="n">
        <v>85</v>
      </c>
      <c r="AB814" t="n">
        <v>1</v>
      </c>
      <c r="AC814" t="n">
        <v>1</v>
      </c>
      <c r="AD814" t="n">
        <v>1</v>
      </c>
      <c r="AE814" t="n">
        <v>2</v>
      </c>
      <c r="AF814" t="n">
        <v>0</v>
      </c>
      <c r="AG814" t="n">
        <v>1</v>
      </c>
      <c r="AH814" t="n">
        <v>1</v>
      </c>
      <c r="AI814" t="n">
        <v>1</v>
      </c>
      <c r="AJ814" t="n">
        <v>0</v>
      </c>
      <c r="AK814" t="n">
        <v>1</v>
      </c>
      <c r="AL814" t="n">
        <v>0</v>
      </c>
      <c r="AM814" t="n">
        <v>0</v>
      </c>
      <c r="AN814" t="n">
        <v>0</v>
      </c>
      <c r="AO814" t="n">
        <v>0</v>
      </c>
      <c r="AP814" t="inlineStr">
        <is>
          <t>No</t>
        </is>
      </c>
      <c r="AQ814" t="inlineStr">
        <is>
          <t>Yes</t>
        </is>
      </c>
      <c r="AR814">
        <f>HYPERLINK("http://catalog.hathitrust.org/Record/002208418","HathiTrust Record")</f>
        <v/>
      </c>
      <c r="AS814">
        <f>HYPERLINK("https://creighton-primo.hosted.exlibrisgroup.com/primo-explore/search?tab=default_tab&amp;search_scope=EVERYTHING&amp;vid=01CRU&amp;lang=en_US&amp;offset=0&amp;query=any,contains,991001536399702656","Catalog Record")</f>
        <v/>
      </c>
      <c r="AT814">
        <f>HYPERLINK("http://www.worldcat.org/oclc/20088331","WorldCat Record")</f>
        <v/>
      </c>
      <c r="AU814" t="inlineStr">
        <is>
          <t>3943560576:eng</t>
        </is>
      </c>
      <c r="AV814" t="inlineStr">
        <is>
          <t>20088331</t>
        </is>
      </c>
      <c r="AW814" t="inlineStr">
        <is>
          <t>991001536399702656</t>
        </is>
      </c>
      <c r="AX814" t="inlineStr">
        <is>
          <t>991001536399702656</t>
        </is>
      </c>
      <c r="AY814" t="inlineStr">
        <is>
          <t>2270900220002656</t>
        </is>
      </c>
      <c r="AZ814" t="inlineStr">
        <is>
          <t>BOOK</t>
        </is>
      </c>
      <c r="BB814" t="inlineStr">
        <is>
          <t>9781851664085</t>
        </is>
      </c>
      <c r="BC814" t="inlineStr">
        <is>
          <t>32285000406040</t>
        </is>
      </c>
      <c r="BD814" t="inlineStr">
        <is>
          <t>893772651</t>
        </is>
      </c>
    </row>
    <row r="815">
      <c r="A815" t="inlineStr">
        <is>
          <t>No</t>
        </is>
      </c>
      <c r="B815" t="inlineStr">
        <is>
          <t>QD381.9.S65 F85 1990</t>
        </is>
      </c>
      <c r="C815" t="inlineStr">
        <is>
          <t>0                      QD 0381900S  65                 F  85          1990</t>
        </is>
      </c>
      <c r="D815" t="inlineStr">
        <is>
          <t>Polymer solutions / by Hiroshi Fujita.</t>
        </is>
      </c>
      <c r="F815" t="inlineStr">
        <is>
          <t>No</t>
        </is>
      </c>
      <c r="G815" t="inlineStr">
        <is>
          <t>1</t>
        </is>
      </c>
      <c r="H815" t="inlineStr">
        <is>
          <t>No</t>
        </is>
      </c>
      <c r="I815" t="inlineStr">
        <is>
          <t>No</t>
        </is>
      </c>
      <c r="J815" t="inlineStr">
        <is>
          <t>0</t>
        </is>
      </c>
      <c r="K815" t="inlineStr">
        <is>
          <t>Fujita, Hiroshi, 1922-</t>
        </is>
      </c>
      <c r="L815" t="inlineStr">
        <is>
          <t>Amsterdam ; New York : Elsevier ; New York, NY, U.S.A. : Distributors for the U.S. and Canada, Elsevier Science Pub., 1990.</t>
        </is>
      </c>
      <c r="M815" t="inlineStr">
        <is>
          <t>1990</t>
        </is>
      </c>
      <c r="O815" t="inlineStr">
        <is>
          <t>eng</t>
        </is>
      </c>
      <c r="P815" t="inlineStr">
        <is>
          <t xml:space="preserve">ne </t>
        </is>
      </c>
      <c r="Q815" t="inlineStr">
        <is>
          <t>Studies in polymer science ; 9</t>
        </is>
      </c>
      <c r="R815" t="inlineStr">
        <is>
          <t xml:space="preserve">QD </t>
        </is>
      </c>
      <c r="S815" t="n">
        <v>3</v>
      </c>
      <c r="T815" t="n">
        <v>3</v>
      </c>
      <c r="U815" t="inlineStr">
        <is>
          <t>1992-10-26</t>
        </is>
      </c>
      <c r="V815" t="inlineStr">
        <is>
          <t>1992-10-26</t>
        </is>
      </c>
      <c r="W815" t="inlineStr">
        <is>
          <t>1991-06-24</t>
        </is>
      </c>
      <c r="X815" t="inlineStr">
        <is>
          <t>1991-06-24</t>
        </is>
      </c>
      <c r="Y815" t="n">
        <v>167</v>
      </c>
      <c r="Z815" t="n">
        <v>94</v>
      </c>
      <c r="AA815" t="n">
        <v>134</v>
      </c>
      <c r="AB815" t="n">
        <v>1</v>
      </c>
      <c r="AC815" t="n">
        <v>1</v>
      </c>
      <c r="AD815" t="n">
        <v>3</v>
      </c>
      <c r="AE815" t="n">
        <v>5</v>
      </c>
      <c r="AF815" t="n">
        <v>0</v>
      </c>
      <c r="AG815" t="n">
        <v>1</v>
      </c>
      <c r="AH815" t="n">
        <v>1</v>
      </c>
      <c r="AI815" t="n">
        <v>2</v>
      </c>
      <c r="AJ815" t="n">
        <v>2</v>
      </c>
      <c r="AK815" t="n">
        <v>2</v>
      </c>
      <c r="AL815" t="n">
        <v>0</v>
      </c>
      <c r="AM815" t="n">
        <v>0</v>
      </c>
      <c r="AN815" t="n">
        <v>0</v>
      </c>
      <c r="AO815" t="n">
        <v>0</v>
      </c>
      <c r="AP815" t="inlineStr">
        <is>
          <t>No</t>
        </is>
      </c>
      <c r="AQ815" t="inlineStr">
        <is>
          <t>Yes</t>
        </is>
      </c>
      <c r="AR815">
        <f>HYPERLINK("http://catalog.hathitrust.org/Record/002443279","HathiTrust Record")</f>
        <v/>
      </c>
      <c r="AS815">
        <f>HYPERLINK("https://creighton-primo.hosted.exlibrisgroup.com/primo-explore/search?tab=default_tab&amp;search_scope=EVERYTHING&amp;vid=01CRU&amp;lang=en_US&amp;offset=0&amp;query=any,contains,991001754839702656","Catalog Record")</f>
        <v/>
      </c>
      <c r="AT815">
        <f>HYPERLINK("http://www.worldcat.org/oclc/22207575","WorldCat Record")</f>
        <v/>
      </c>
      <c r="AU815" t="inlineStr">
        <is>
          <t>350137785:eng</t>
        </is>
      </c>
      <c r="AV815" t="inlineStr">
        <is>
          <t>22207575</t>
        </is>
      </c>
      <c r="AW815" t="inlineStr">
        <is>
          <t>991001754839702656</t>
        </is>
      </c>
      <c r="AX815" t="inlineStr">
        <is>
          <t>991001754839702656</t>
        </is>
      </c>
      <c r="AY815" t="inlineStr">
        <is>
          <t>2256806020002656</t>
        </is>
      </c>
      <c r="AZ815" t="inlineStr">
        <is>
          <t>BOOK</t>
        </is>
      </c>
      <c r="BB815" t="inlineStr">
        <is>
          <t>9780444883391</t>
        </is>
      </c>
      <c r="BC815" t="inlineStr">
        <is>
          <t>32285000658442</t>
        </is>
      </c>
      <c r="BD815" t="inlineStr">
        <is>
          <t>893414448</t>
        </is>
      </c>
    </row>
    <row r="816">
      <c r="A816" t="inlineStr">
        <is>
          <t>No</t>
        </is>
      </c>
      <c r="B816" t="inlineStr">
        <is>
          <t>QD381.9.S65 I55 2005</t>
        </is>
      </c>
      <c r="C816" t="inlineStr">
        <is>
          <t>0                      QD 0381900S  65                 I  55          2005</t>
        </is>
      </c>
      <c r="D816" t="inlineStr">
        <is>
          <t>Ionic liquids in polymer systems : solvents, additives, and novel applications / Christopher S. Brazel, editor, Robin D. Rogers, editor.</t>
        </is>
      </c>
      <c r="F816" t="inlineStr">
        <is>
          <t>No</t>
        </is>
      </c>
      <c r="G816" t="inlineStr">
        <is>
          <t>1</t>
        </is>
      </c>
      <c r="H816" t="inlineStr">
        <is>
          <t>No</t>
        </is>
      </c>
      <c r="I816" t="inlineStr">
        <is>
          <t>No</t>
        </is>
      </c>
      <c r="J816" t="inlineStr">
        <is>
          <t>0</t>
        </is>
      </c>
      <c r="L816" t="inlineStr">
        <is>
          <t>Washington, D.C. : American Chemical Society, 2005.</t>
        </is>
      </c>
      <c r="M816" t="inlineStr">
        <is>
          <t>2005</t>
        </is>
      </c>
      <c r="O816" t="inlineStr">
        <is>
          <t>eng</t>
        </is>
      </c>
      <c r="P816" t="inlineStr">
        <is>
          <t>dcu</t>
        </is>
      </c>
      <c r="Q816" t="inlineStr">
        <is>
          <t>ACS symposium series ; 913</t>
        </is>
      </c>
      <c r="R816" t="inlineStr">
        <is>
          <t xml:space="preserve">QD </t>
        </is>
      </c>
      <c r="S816" t="n">
        <v>1</v>
      </c>
      <c r="T816" t="n">
        <v>1</v>
      </c>
      <c r="U816" t="inlineStr">
        <is>
          <t>2006-08-08</t>
        </is>
      </c>
      <c r="V816" t="inlineStr">
        <is>
          <t>2006-08-08</t>
        </is>
      </c>
      <c r="W816" t="inlineStr">
        <is>
          <t>2006-08-08</t>
        </is>
      </c>
      <c r="X816" t="inlineStr">
        <is>
          <t>2006-08-08</t>
        </is>
      </c>
      <c r="Y816" t="n">
        <v>163</v>
      </c>
      <c r="Z816" t="n">
        <v>122</v>
      </c>
      <c r="AA816" t="n">
        <v>152</v>
      </c>
      <c r="AB816" t="n">
        <v>2</v>
      </c>
      <c r="AC816" t="n">
        <v>2</v>
      </c>
      <c r="AD816" t="n">
        <v>5</v>
      </c>
      <c r="AE816" t="n">
        <v>5</v>
      </c>
      <c r="AF816" t="n">
        <v>1</v>
      </c>
      <c r="AG816" t="n">
        <v>1</v>
      </c>
      <c r="AH816" t="n">
        <v>2</v>
      </c>
      <c r="AI816" t="n">
        <v>2</v>
      </c>
      <c r="AJ816" t="n">
        <v>1</v>
      </c>
      <c r="AK816" t="n">
        <v>1</v>
      </c>
      <c r="AL816" t="n">
        <v>1</v>
      </c>
      <c r="AM816" t="n">
        <v>1</v>
      </c>
      <c r="AN816" t="n">
        <v>0</v>
      </c>
      <c r="AO816" t="n">
        <v>0</v>
      </c>
      <c r="AP816" t="inlineStr">
        <is>
          <t>No</t>
        </is>
      </c>
      <c r="AQ816" t="inlineStr">
        <is>
          <t>Yes</t>
        </is>
      </c>
      <c r="AR816">
        <f>HYPERLINK("http://catalog.hathitrust.org/Record/005058077","HathiTrust Record")</f>
        <v/>
      </c>
      <c r="AS816">
        <f>HYPERLINK("https://creighton-primo.hosted.exlibrisgroup.com/primo-explore/search?tab=default_tab&amp;search_scope=EVERYTHING&amp;vid=01CRU&amp;lang=en_US&amp;offset=0&amp;query=any,contains,991004896509702656","Catalog Record")</f>
        <v/>
      </c>
      <c r="AT816">
        <f>HYPERLINK("http://www.worldcat.org/oclc/58720780","WorldCat Record")</f>
        <v/>
      </c>
      <c r="AU816" t="inlineStr">
        <is>
          <t>364619919:eng</t>
        </is>
      </c>
      <c r="AV816" t="inlineStr">
        <is>
          <t>58720780</t>
        </is>
      </c>
      <c r="AW816" t="inlineStr">
        <is>
          <t>991004896509702656</t>
        </is>
      </c>
      <c r="AX816" t="inlineStr">
        <is>
          <t>991004896509702656</t>
        </is>
      </c>
      <c r="AY816" t="inlineStr">
        <is>
          <t>2268671480002656</t>
        </is>
      </c>
      <c r="AZ816" t="inlineStr">
        <is>
          <t>BOOK</t>
        </is>
      </c>
      <c r="BB816" t="inlineStr">
        <is>
          <t>9780841239364</t>
        </is>
      </c>
      <c r="BC816" t="inlineStr">
        <is>
          <t>32285005220180</t>
        </is>
      </c>
      <c r="BD816" t="inlineStr">
        <is>
          <t>893795364</t>
        </is>
      </c>
    </row>
    <row r="817">
      <c r="A817" t="inlineStr">
        <is>
          <t>No</t>
        </is>
      </c>
      <c r="B817" t="inlineStr">
        <is>
          <t>QD382.E48 E48</t>
        </is>
      </c>
      <c r="C817" t="inlineStr">
        <is>
          <t>0                      QD 0382000E  48                 E  48</t>
        </is>
      </c>
      <c r="D817" t="inlineStr">
        <is>
          <t>Emulsion polymerization / edited by Irja Piirma.</t>
        </is>
      </c>
      <c r="F817" t="inlineStr">
        <is>
          <t>No</t>
        </is>
      </c>
      <c r="G817" t="inlineStr">
        <is>
          <t>1</t>
        </is>
      </c>
      <c r="H817" t="inlineStr">
        <is>
          <t>No</t>
        </is>
      </c>
      <c r="I817" t="inlineStr">
        <is>
          <t>No</t>
        </is>
      </c>
      <c r="J817" t="inlineStr">
        <is>
          <t>0</t>
        </is>
      </c>
      <c r="L817" t="inlineStr">
        <is>
          <t>New York : Academic Press, 1982.</t>
        </is>
      </c>
      <c r="M817" t="inlineStr">
        <is>
          <t>1982</t>
        </is>
      </c>
      <c r="O817" t="inlineStr">
        <is>
          <t>eng</t>
        </is>
      </c>
      <c r="P817" t="inlineStr">
        <is>
          <t>nyu</t>
        </is>
      </c>
      <c r="R817" t="inlineStr">
        <is>
          <t xml:space="preserve">QD </t>
        </is>
      </c>
      <c r="S817" t="n">
        <v>7</v>
      </c>
      <c r="T817" t="n">
        <v>7</v>
      </c>
      <c r="U817" t="inlineStr">
        <is>
          <t>2006-07-09</t>
        </is>
      </c>
      <c r="V817" t="inlineStr">
        <is>
          <t>2006-07-09</t>
        </is>
      </c>
      <c r="W817" t="inlineStr">
        <is>
          <t>1993-02-01</t>
        </is>
      </c>
      <c r="X817" t="inlineStr">
        <is>
          <t>1993-02-01</t>
        </is>
      </c>
      <c r="Y817" t="n">
        <v>223</v>
      </c>
      <c r="Z817" t="n">
        <v>163</v>
      </c>
      <c r="AA817" t="n">
        <v>165</v>
      </c>
      <c r="AB817" t="n">
        <v>2</v>
      </c>
      <c r="AC817" t="n">
        <v>2</v>
      </c>
      <c r="AD817" t="n">
        <v>5</v>
      </c>
      <c r="AE817" t="n">
        <v>5</v>
      </c>
      <c r="AF817" t="n">
        <v>1</v>
      </c>
      <c r="AG817" t="n">
        <v>1</v>
      </c>
      <c r="AH817" t="n">
        <v>3</v>
      </c>
      <c r="AI817" t="n">
        <v>3</v>
      </c>
      <c r="AJ817" t="n">
        <v>2</v>
      </c>
      <c r="AK817" t="n">
        <v>2</v>
      </c>
      <c r="AL817" t="n">
        <v>1</v>
      </c>
      <c r="AM817" t="n">
        <v>1</v>
      </c>
      <c r="AN817" t="n">
        <v>0</v>
      </c>
      <c r="AO817" t="n">
        <v>0</v>
      </c>
      <c r="AP817" t="inlineStr">
        <is>
          <t>No</t>
        </is>
      </c>
      <c r="AQ817" t="inlineStr">
        <is>
          <t>Yes</t>
        </is>
      </c>
      <c r="AR817">
        <f>HYPERLINK("http://catalog.hathitrust.org/Record/000263395","HathiTrust Record")</f>
        <v/>
      </c>
      <c r="AS817">
        <f>HYPERLINK("https://creighton-primo.hosted.exlibrisgroup.com/primo-explore/search?tab=default_tab&amp;search_scope=EVERYTHING&amp;vid=01CRU&amp;lang=en_US&amp;offset=0&amp;query=any,contains,991005177849702656","Catalog Record")</f>
        <v/>
      </c>
      <c r="AT817">
        <f>HYPERLINK("http://www.worldcat.org/oclc/7925190","WorldCat Record")</f>
        <v/>
      </c>
      <c r="AU817" t="inlineStr">
        <is>
          <t>9381173708:eng</t>
        </is>
      </c>
      <c r="AV817" t="inlineStr">
        <is>
          <t>7925190</t>
        </is>
      </c>
      <c r="AW817" t="inlineStr">
        <is>
          <t>991005177849702656</t>
        </is>
      </c>
      <c r="AX817" t="inlineStr">
        <is>
          <t>991005177849702656</t>
        </is>
      </c>
      <c r="AY817" t="inlineStr">
        <is>
          <t>2268883340002656</t>
        </is>
      </c>
      <c r="AZ817" t="inlineStr">
        <is>
          <t>BOOK</t>
        </is>
      </c>
      <c r="BB817" t="inlineStr">
        <is>
          <t>9780125564205</t>
        </is>
      </c>
      <c r="BC817" t="inlineStr">
        <is>
          <t>32285001516334</t>
        </is>
      </c>
      <c r="BD817" t="inlineStr">
        <is>
          <t>893320181</t>
        </is>
      </c>
    </row>
    <row r="818">
      <c r="A818" t="inlineStr">
        <is>
          <t>No</t>
        </is>
      </c>
      <c r="B818" t="inlineStr">
        <is>
          <t>QD385 .C64 1973</t>
        </is>
      </c>
      <c r="C818" t="inlineStr">
        <is>
          <t>0                      QD 0385000C  64          1973</t>
        </is>
      </c>
      <c r="D818" t="inlineStr">
        <is>
          <t>Experiments in polymer science / [by] Edward A. Collins, Jan Bareš [and] Fred W. Billmeyer, Jr.</t>
        </is>
      </c>
      <c r="F818" t="inlineStr">
        <is>
          <t>No</t>
        </is>
      </c>
      <c r="G818" t="inlineStr">
        <is>
          <t>1</t>
        </is>
      </c>
      <c r="H818" t="inlineStr">
        <is>
          <t>No</t>
        </is>
      </c>
      <c r="I818" t="inlineStr">
        <is>
          <t>No</t>
        </is>
      </c>
      <c r="J818" t="inlineStr">
        <is>
          <t>0</t>
        </is>
      </c>
      <c r="K818" t="inlineStr">
        <is>
          <t>Collins, Edward A., 1928-</t>
        </is>
      </c>
      <c r="L818" t="inlineStr">
        <is>
          <t>New York : Wiley, [1973]</t>
        </is>
      </c>
      <c r="M818" t="inlineStr">
        <is>
          <t>1973</t>
        </is>
      </c>
      <c r="O818" t="inlineStr">
        <is>
          <t>eng</t>
        </is>
      </c>
      <c r="P818" t="inlineStr">
        <is>
          <t>nyu</t>
        </is>
      </c>
      <c r="R818" t="inlineStr">
        <is>
          <t xml:space="preserve">QD </t>
        </is>
      </c>
      <c r="S818" t="n">
        <v>2</v>
      </c>
      <c r="T818" t="n">
        <v>2</v>
      </c>
      <c r="U818" t="inlineStr">
        <is>
          <t>1996-11-22</t>
        </is>
      </c>
      <c r="V818" t="inlineStr">
        <is>
          <t>1996-11-22</t>
        </is>
      </c>
      <c r="W818" t="inlineStr">
        <is>
          <t>1993-02-01</t>
        </is>
      </c>
      <c r="X818" t="inlineStr">
        <is>
          <t>1993-02-01</t>
        </is>
      </c>
      <c r="Y818" t="n">
        <v>406</v>
      </c>
      <c r="Z818" t="n">
        <v>280</v>
      </c>
      <c r="AA818" t="n">
        <v>281</v>
      </c>
      <c r="AB818" t="n">
        <v>1</v>
      </c>
      <c r="AC818" t="n">
        <v>1</v>
      </c>
      <c r="AD818" t="n">
        <v>6</v>
      </c>
      <c r="AE818" t="n">
        <v>6</v>
      </c>
      <c r="AF818" t="n">
        <v>2</v>
      </c>
      <c r="AG818" t="n">
        <v>2</v>
      </c>
      <c r="AH818" t="n">
        <v>2</v>
      </c>
      <c r="AI818" t="n">
        <v>2</v>
      </c>
      <c r="AJ818" t="n">
        <v>3</v>
      </c>
      <c r="AK818" t="n">
        <v>3</v>
      </c>
      <c r="AL818" t="n">
        <v>0</v>
      </c>
      <c r="AM818" t="n">
        <v>0</v>
      </c>
      <c r="AN818" t="n">
        <v>0</v>
      </c>
      <c r="AO818" t="n">
        <v>0</v>
      </c>
      <c r="AP818" t="inlineStr">
        <is>
          <t>No</t>
        </is>
      </c>
      <c r="AQ818" t="inlineStr">
        <is>
          <t>Yes</t>
        </is>
      </c>
      <c r="AR818">
        <f>HYPERLINK("http://catalog.hathitrust.org/Record/001034031","HathiTrust Record")</f>
        <v/>
      </c>
      <c r="AS818">
        <f>HYPERLINK("https://creighton-primo.hosted.exlibrisgroup.com/primo-explore/search?tab=default_tab&amp;search_scope=EVERYTHING&amp;vid=01CRU&amp;lang=en_US&amp;offset=0&amp;query=any,contains,991003003849702656","Catalog Record")</f>
        <v/>
      </c>
      <c r="AT818">
        <f>HYPERLINK("http://www.worldcat.org/oclc/571640","WorldCat Record")</f>
        <v/>
      </c>
      <c r="AU818" t="inlineStr">
        <is>
          <t>1679796:eng</t>
        </is>
      </c>
      <c r="AV818" t="inlineStr">
        <is>
          <t>571640</t>
        </is>
      </c>
      <c r="AW818" t="inlineStr">
        <is>
          <t>991003003849702656</t>
        </is>
      </c>
      <c r="AX818" t="inlineStr">
        <is>
          <t>991003003849702656</t>
        </is>
      </c>
      <c r="AY818" t="inlineStr">
        <is>
          <t>2272003210002656</t>
        </is>
      </c>
      <c r="AZ818" t="inlineStr">
        <is>
          <t>BOOK</t>
        </is>
      </c>
      <c r="BB818" t="inlineStr">
        <is>
          <t>9780471165842</t>
        </is>
      </c>
      <c r="BC818" t="inlineStr">
        <is>
          <t>32285001516342</t>
        </is>
      </c>
      <c r="BD818" t="inlineStr">
        <is>
          <t>893874306</t>
        </is>
      </c>
    </row>
    <row r="819">
      <c r="A819" t="inlineStr">
        <is>
          <t>No</t>
        </is>
      </c>
      <c r="B819" t="inlineStr">
        <is>
          <t>QD39 .N47 2000</t>
        </is>
      </c>
      <c r="C819" t="inlineStr">
        <is>
          <t>0                      QD 0039000N  47          2000</t>
        </is>
      </c>
      <c r="D819" t="inlineStr">
        <is>
          <t>The new chemistry / editor-in-chief, Nina Hall.</t>
        </is>
      </c>
      <c r="F819" t="inlineStr">
        <is>
          <t>No</t>
        </is>
      </c>
      <c r="G819" t="inlineStr">
        <is>
          <t>1</t>
        </is>
      </c>
      <c r="H819" t="inlineStr">
        <is>
          <t>No</t>
        </is>
      </c>
      <c r="I819" t="inlineStr">
        <is>
          <t>No</t>
        </is>
      </c>
      <c r="J819" t="inlineStr">
        <is>
          <t>0</t>
        </is>
      </c>
      <c r="L819" t="inlineStr">
        <is>
          <t>Cambridge, U.K. ; New York : Cambridge University Press, 2000.</t>
        </is>
      </c>
      <c r="M819" t="inlineStr">
        <is>
          <t>2000</t>
        </is>
      </c>
      <c r="O819" t="inlineStr">
        <is>
          <t>eng</t>
        </is>
      </c>
      <c r="P819" t="inlineStr">
        <is>
          <t>enk</t>
        </is>
      </c>
      <c r="R819" t="inlineStr">
        <is>
          <t xml:space="preserve">QD </t>
        </is>
      </c>
      <c r="S819" t="n">
        <v>6</v>
      </c>
      <c r="T819" t="n">
        <v>6</v>
      </c>
      <c r="U819" t="inlineStr">
        <is>
          <t>2002-04-15</t>
        </is>
      </c>
      <c r="V819" t="inlineStr">
        <is>
          <t>2002-04-15</t>
        </is>
      </c>
      <c r="W819" t="inlineStr">
        <is>
          <t>2001-02-22</t>
        </is>
      </c>
      <c r="X819" t="inlineStr">
        <is>
          <t>2001-02-22</t>
        </is>
      </c>
      <c r="Y819" t="n">
        <v>840</v>
      </c>
      <c r="Z819" t="n">
        <v>637</v>
      </c>
      <c r="AA819" t="n">
        <v>642</v>
      </c>
      <c r="AB819" t="n">
        <v>8</v>
      </c>
      <c r="AC819" t="n">
        <v>8</v>
      </c>
      <c r="AD819" t="n">
        <v>32</v>
      </c>
      <c r="AE819" t="n">
        <v>32</v>
      </c>
      <c r="AF819" t="n">
        <v>15</v>
      </c>
      <c r="AG819" t="n">
        <v>15</v>
      </c>
      <c r="AH819" t="n">
        <v>4</v>
      </c>
      <c r="AI819" t="n">
        <v>4</v>
      </c>
      <c r="AJ819" t="n">
        <v>15</v>
      </c>
      <c r="AK819" t="n">
        <v>15</v>
      </c>
      <c r="AL819" t="n">
        <v>7</v>
      </c>
      <c r="AM819" t="n">
        <v>7</v>
      </c>
      <c r="AN819" t="n">
        <v>0</v>
      </c>
      <c r="AO819" t="n">
        <v>0</v>
      </c>
      <c r="AP819" t="inlineStr">
        <is>
          <t>No</t>
        </is>
      </c>
      <c r="AQ819" t="inlineStr">
        <is>
          <t>No</t>
        </is>
      </c>
      <c r="AS819">
        <f>HYPERLINK("https://creighton-primo.hosted.exlibrisgroup.com/primo-explore/search?tab=default_tab&amp;search_scope=EVERYTHING&amp;vid=01CRU&amp;lang=en_US&amp;offset=0&amp;query=any,contains,991003475749702656","Catalog Record")</f>
        <v/>
      </c>
      <c r="AT819">
        <f>HYPERLINK("http://www.worldcat.org/oclc/41540162","WorldCat Record")</f>
        <v/>
      </c>
      <c r="AU819" t="inlineStr">
        <is>
          <t>56432306:eng</t>
        </is>
      </c>
      <c r="AV819" t="inlineStr">
        <is>
          <t>41540162</t>
        </is>
      </c>
      <c r="AW819" t="inlineStr">
        <is>
          <t>991003475749702656</t>
        </is>
      </c>
      <c r="AX819" t="inlineStr">
        <is>
          <t>991003475749702656</t>
        </is>
      </c>
      <c r="AY819" t="inlineStr">
        <is>
          <t>2267568600002656</t>
        </is>
      </c>
      <c r="AZ819" t="inlineStr">
        <is>
          <t>BOOK</t>
        </is>
      </c>
      <c r="BB819" t="inlineStr">
        <is>
          <t>9780521452243</t>
        </is>
      </c>
      <c r="BC819" t="inlineStr">
        <is>
          <t>32285004296454</t>
        </is>
      </c>
      <c r="BD819" t="inlineStr">
        <is>
          <t>893874788</t>
        </is>
      </c>
    </row>
    <row r="820">
      <c r="A820" t="inlineStr">
        <is>
          <t>No</t>
        </is>
      </c>
      <c r="B820" t="inlineStr">
        <is>
          <t>QD39 .N735</t>
        </is>
      </c>
      <c r="C820" t="inlineStr">
        <is>
          <t>0                      QD 0039000N  735</t>
        </is>
      </c>
      <c r="D820" t="inlineStr">
        <is>
          <t>Chemistry.</t>
        </is>
      </c>
      <c r="F820" t="inlineStr">
        <is>
          <t>No</t>
        </is>
      </c>
      <c r="G820" t="inlineStr">
        <is>
          <t>1</t>
        </is>
      </c>
      <c r="H820" t="inlineStr">
        <is>
          <t>Yes</t>
        </is>
      </c>
      <c r="I820" t="inlineStr">
        <is>
          <t>No</t>
        </is>
      </c>
      <c r="J820" t="inlineStr">
        <is>
          <t>0</t>
        </is>
      </c>
      <c r="K820" t="inlineStr">
        <is>
          <t>Nobelstiftelsen.</t>
        </is>
      </c>
      <c r="L820" t="inlineStr">
        <is>
          <t>Amsterdam, New York, Published for the Nobel Foundation by Elsevier Pub. Co., 1964-</t>
        </is>
      </c>
      <c r="M820" t="inlineStr">
        <is>
          <t>1964</t>
        </is>
      </c>
      <c r="O820" t="inlineStr">
        <is>
          <t>eng</t>
        </is>
      </c>
      <c r="P820" t="inlineStr">
        <is>
          <t xml:space="preserve">ne </t>
        </is>
      </c>
      <c r="Q820" t="inlineStr">
        <is>
          <t>Nobel lectures, including presentation speeches and laureates' biographies</t>
        </is>
      </c>
      <c r="R820" t="inlineStr">
        <is>
          <t xml:space="preserve">QD </t>
        </is>
      </c>
      <c r="S820" t="n">
        <v>4</v>
      </c>
      <c r="T820" t="n">
        <v>8</v>
      </c>
      <c r="U820" t="inlineStr">
        <is>
          <t>2000-03-15</t>
        </is>
      </c>
      <c r="V820" t="inlineStr">
        <is>
          <t>2000-03-15</t>
        </is>
      </c>
      <c r="W820" t="inlineStr">
        <is>
          <t>1997-05-29</t>
        </is>
      </c>
      <c r="X820" t="inlineStr">
        <is>
          <t>1997-05-29</t>
        </is>
      </c>
      <c r="Y820" t="n">
        <v>545</v>
      </c>
      <c r="Z820" t="n">
        <v>504</v>
      </c>
      <c r="AA820" t="n">
        <v>531</v>
      </c>
      <c r="AB820" t="n">
        <v>5</v>
      </c>
      <c r="AC820" t="n">
        <v>5</v>
      </c>
      <c r="AD820" t="n">
        <v>20</v>
      </c>
      <c r="AE820" t="n">
        <v>20</v>
      </c>
      <c r="AF820" t="n">
        <v>7</v>
      </c>
      <c r="AG820" t="n">
        <v>7</v>
      </c>
      <c r="AH820" t="n">
        <v>3</v>
      </c>
      <c r="AI820" t="n">
        <v>3</v>
      </c>
      <c r="AJ820" t="n">
        <v>9</v>
      </c>
      <c r="AK820" t="n">
        <v>9</v>
      </c>
      <c r="AL820" t="n">
        <v>4</v>
      </c>
      <c r="AM820" t="n">
        <v>4</v>
      </c>
      <c r="AN820" t="n">
        <v>0</v>
      </c>
      <c r="AO820" t="n">
        <v>0</v>
      </c>
      <c r="AP820" t="inlineStr">
        <is>
          <t>No</t>
        </is>
      </c>
      <c r="AQ820" t="inlineStr">
        <is>
          <t>Yes</t>
        </is>
      </c>
      <c r="AR820">
        <f>HYPERLINK("http://catalog.hathitrust.org/Record/001486830","HathiTrust Record")</f>
        <v/>
      </c>
      <c r="AS820">
        <f>HYPERLINK("https://creighton-primo.hosted.exlibrisgroup.com/primo-explore/search?tab=default_tab&amp;search_scope=EVERYTHING&amp;vid=01CRU&amp;lang=en_US&amp;offset=0&amp;query=any,contains,991003705469702656","Catalog Record")</f>
        <v/>
      </c>
      <c r="AT820">
        <f>HYPERLINK("http://www.worldcat.org/oclc/1342976","WorldCat Record")</f>
        <v/>
      </c>
      <c r="AU820" t="inlineStr">
        <is>
          <t>3943375783:eng</t>
        </is>
      </c>
      <c r="AV820" t="inlineStr">
        <is>
          <t>1342976</t>
        </is>
      </c>
      <c r="AW820" t="inlineStr">
        <is>
          <t>991003705469702656</t>
        </is>
      </c>
      <c r="AX820" t="inlineStr">
        <is>
          <t>991003705469702656</t>
        </is>
      </c>
      <c r="AY820" t="inlineStr">
        <is>
          <t>2263310510002656</t>
        </is>
      </c>
      <c r="AZ820" t="inlineStr">
        <is>
          <t>BOOK</t>
        </is>
      </c>
      <c r="BC820" t="inlineStr">
        <is>
          <t>32285002777265</t>
        </is>
      </c>
      <c r="BD820" t="inlineStr">
        <is>
          <t>893868740</t>
        </is>
      </c>
    </row>
    <row r="821">
      <c r="A821" t="inlineStr">
        <is>
          <t>No</t>
        </is>
      </c>
      <c r="B821" t="inlineStr">
        <is>
          <t>QD39 .N735 1942-1962</t>
        </is>
      </c>
      <c r="C821" t="inlineStr">
        <is>
          <t>0                      QD 0039000N  735         1942                                        -1962</t>
        </is>
      </c>
      <c r="D821" t="inlineStr">
        <is>
          <t>Chemistry.</t>
        </is>
      </c>
      <c r="F821" t="inlineStr">
        <is>
          <t>No</t>
        </is>
      </c>
      <c r="G821" t="inlineStr">
        <is>
          <t>1</t>
        </is>
      </c>
      <c r="H821" t="inlineStr">
        <is>
          <t>Yes</t>
        </is>
      </c>
      <c r="I821" t="inlineStr">
        <is>
          <t>No</t>
        </is>
      </c>
      <c r="J821" t="inlineStr">
        <is>
          <t>0</t>
        </is>
      </c>
      <c r="K821" t="inlineStr">
        <is>
          <t>Nobelstiftelsen.</t>
        </is>
      </c>
      <c r="L821" t="inlineStr">
        <is>
          <t>Amsterdam, New York, Published for the Nobel Foundation by Elsevier Pub. Co., 1964-</t>
        </is>
      </c>
      <c r="M821" t="inlineStr">
        <is>
          <t>1964</t>
        </is>
      </c>
      <c r="O821" t="inlineStr">
        <is>
          <t>eng</t>
        </is>
      </c>
      <c r="P821" t="inlineStr">
        <is>
          <t xml:space="preserve">ne </t>
        </is>
      </c>
      <c r="Q821" t="inlineStr">
        <is>
          <t>Nobel lectures, including presentation speeches and laureates' biographies</t>
        </is>
      </c>
      <c r="R821" t="inlineStr">
        <is>
          <t xml:space="preserve">QD </t>
        </is>
      </c>
      <c r="S821" t="n">
        <v>4</v>
      </c>
      <c r="T821" t="n">
        <v>8</v>
      </c>
      <c r="U821" t="inlineStr">
        <is>
          <t>2000-03-15</t>
        </is>
      </c>
      <c r="V821" t="inlineStr">
        <is>
          <t>2000-03-15</t>
        </is>
      </c>
      <c r="W821" t="inlineStr">
        <is>
          <t>1997-05-29</t>
        </is>
      </c>
      <c r="X821" t="inlineStr">
        <is>
          <t>1997-05-29</t>
        </is>
      </c>
      <c r="Y821" t="n">
        <v>545</v>
      </c>
      <c r="Z821" t="n">
        <v>504</v>
      </c>
      <c r="AA821" t="n">
        <v>531</v>
      </c>
      <c r="AB821" t="n">
        <v>5</v>
      </c>
      <c r="AC821" t="n">
        <v>5</v>
      </c>
      <c r="AD821" t="n">
        <v>20</v>
      </c>
      <c r="AE821" t="n">
        <v>20</v>
      </c>
      <c r="AF821" t="n">
        <v>7</v>
      </c>
      <c r="AG821" t="n">
        <v>7</v>
      </c>
      <c r="AH821" t="n">
        <v>3</v>
      </c>
      <c r="AI821" t="n">
        <v>3</v>
      </c>
      <c r="AJ821" t="n">
        <v>9</v>
      </c>
      <c r="AK821" t="n">
        <v>9</v>
      </c>
      <c r="AL821" t="n">
        <v>4</v>
      </c>
      <c r="AM821" t="n">
        <v>4</v>
      </c>
      <c r="AN821" t="n">
        <v>0</v>
      </c>
      <c r="AO821" t="n">
        <v>0</v>
      </c>
      <c r="AP821" t="inlineStr">
        <is>
          <t>No</t>
        </is>
      </c>
      <c r="AQ821" t="inlineStr">
        <is>
          <t>Yes</t>
        </is>
      </c>
      <c r="AR821">
        <f>HYPERLINK("http://catalog.hathitrust.org/Record/001486830","HathiTrust Record")</f>
        <v/>
      </c>
      <c r="AS821">
        <f>HYPERLINK("https://creighton-primo.hosted.exlibrisgroup.com/primo-explore/search?tab=default_tab&amp;search_scope=EVERYTHING&amp;vid=01CRU&amp;lang=en_US&amp;offset=0&amp;query=any,contains,991003705469702656","Catalog Record")</f>
        <v/>
      </c>
      <c r="AT821">
        <f>HYPERLINK("http://www.worldcat.org/oclc/1342976","WorldCat Record")</f>
        <v/>
      </c>
      <c r="AU821" t="inlineStr">
        <is>
          <t>3943375783:eng</t>
        </is>
      </c>
      <c r="AV821" t="inlineStr">
        <is>
          <t>1342976</t>
        </is>
      </c>
      <c r="AW821" t="inlineStr">
        <is>
          <t>991003705469702656</t>
        </is>
      </c>
      <c r="AX821" t="inlineStr">
        <is>
          <t>991003705469702656</t>
        </is>
      </c>
      <c r="AY821" t="inlineStr">
        <is>
          <t>2263310510002656</t>
        </is>
      </c>
      <c r="AZ821" t="inlineStr">
        <is>
          <t>BOOK</t>
        </is>
      </c>
      <c r="BC821" t="inlineStr">
        <is>
          <t>32285002777257</t>
        </is>
      </c>
      <c r="BD821" t="inlineStr">
        <is>
          <t>893868739</t>
        </is>
      </c>
    </row>
    <row r="822">
      <c r="A822" t="inlineStr">
        <is>
          <t>No</t>
        </is>
      </c>
      <c r="B822" t="inlineStr">
        <is>
          <t>QD39 .S83 2000</t>
        </is>
      </c>
      <c r="C822" t="inlineStr">
        <is>
          <t>0                      QD 0039000S  83          2000</t>
        </is>
      </c>
      <c r="D822" t="inlineStr">
        <is>
          <t>Stimulating concepts in chemistry / editors, Fritz Vögtle, J. Fraser Stoddart, Masakatsu Shibasaki.</t>
        </is>
      </c>
      <c r="F822" t="inlineStr">
        <is>
          <t>No</t>
        </is>
      </c>
      <c r="G822" t="inlineStr">
        <is>
          <t>1</t>
        </is>
      </c>
      <c r="H822" t="inlineStr">
        <is>
          <t>No</t>
        </is>
      </c>
      <c r="I822" t="inlineStr">
        <is>
          <t>No</t>
        </is>
      </c>
      <c r="J822" t="inlineStr">
        <is>
          <t>0</t>
        </is>
      </c>
      <c r="L822" t="inlineStr">
        <is>
          <t>Weinheim ; New York : Wiley-VCH, c2000.</t>
        </is>
      </c>
      <c r="M822" t="inlineStr">
        <is>
          <t>2000</t>
        </is>
      </c>
      <c r="O822" t="inlineStr">
        <is>
          <t>eng</t>
        </is>
      </c>
      <c r="P822" t="inlineStr">
        <is>
          <t xml:space="preserve">gw </t>
        </is>
      </c>
      <c r="R822" t="inlineStr">
        <is>
          <t xml:space="preserve">QD </t>
        </is>
      </c>
      <c r="S822" t="n">
        <v>2</v>
      </c>
      <c r="T822" t="n">
        <v>2</v>
      </c>
      <c r="U822" t="inlineStr">
        <is>
          <t>2002-04-17</t>
        </is>
      </c>
      <c r="V822" t="inlineStr">
        <is>
          <t>2002-04-17</t>
        </is>
      </c>
      <c r="W822" t="inlineStr">
        <is>
          <t>2002-04-04</t>
        </is>
      </c>
      <c r="X822" t="inlineStr">
        <is>
          <t>2002-04-04</t>
        </is>
      </c>
      <c r="Y822" t="n">
        <v>306</v>
      </c>
      <c r="Z822" t="n">
        <v>234</v>
      </c>
      <c r="AA822" t="n">
        <v>274</v>
      </c>
      <c r="AB822" t="n">
        <v>3</v>
      </c>
      <c r="AC822" t="n">
        <v>3</v>
      </c>
      <c r="AD822" t="n">
        <v>18</v>
      </c>
      <c r="AE822" t="n">
        <v>18</v>
      </c>
      <c r="AF822" t="n">
        <v>6</v>
      </c>
      <c r="AG822" t="n">
        <v>6</v>
      </c>
      <c r="AH822" t="n">
        <v>4</v>
      </c>
      <c r="AI822" t="n">
        <v>4</v>
      </c>
      <c r="AJ822" t="n">
        <v>10</v>
      </c>
      <c r="AK822" t="n">
        <v>10</v>
      </c>
      <c r="AL822" t="n">
        <v>2</v>
      </c>
      <c r="AM822" t="n">
        <v>2</v>
      </c>
      <c r="AN822" t="n">
        <v>0</v>
      </c>
      <c r="AO822" t="n">
        <v>0</v>
      </c>
      <c r="AP822" t="inlineStr">
        <is>
          <t>No</t>
        </is>
      </c>
      <c r="AQ822" t="inlineStr">
        <is>
          <t>No</t>
        </is>
      </c>
      <c r="AS822">
        <f>HYPERLINK("https://creighton-primo.hosted.exlibrisgroup.com/primo-explore/search?tab=default_tab&amp;search_scope=EVERYTHING&amp;vid=01CRU&amp;lang=en_US&amp;offset=0&amp;query=any,contains,991003751249702656","Catalog Record")</f>
        <v/>
      </c>
      <c r="AT822">
        <f>HYPERLINK("http://www.worldcat.org/oclc/44934464","WorldCat Record")</f>
        <v/>
      </c>
      <c r="AU822" t="inlineStr">
        <is>
          <t>350548788:eng</t>
        </is>
      </c>
      <c r="AV822" t="inlineStr">
        <is>
          <t>44934464</t>
        </is>
      </c>
      <c r="AW822" t="inlineStr">
        <is>
          <t>991003751249702656</t>
        </is>
      </c>
      <c r="AX822" t="inlineStr">
        <is>
          <t>991003751249702656</t>
        </is>
      </c>
      <c r="AY822" t="inlineStr">
        <is>
          <t>2264442420002656</t>
        </is>
      </c>
      <c r="AZ822" t="inlineStr">
        <is>
          <t>BOOK</t>
        </is>
      </c>
      <c r="BB822" t="inlineStr">
        <is>
          <t>9783527299782</t>
        </is>
      </c>
      <c r="BC822" t="inlineStr">
        <is>
          <t>32285004476734</t>
        </is>
      </c>
      <c r="BD822" t="inlineStr">
        <is>
          <t>893531550</t>
        </is>
      </c>
    </row>
    <row r="823">
      <c r="A823" t="inlineStr">
        <is>
          <t>No</t>
        </is>
      </c>
      <c r="B823" t="inlineStr">
        <is>
          <t>QD39.2 .G55 1989</t>
        </is>
      </c>
      <c r="C823" t="inlineStr">
        <is>
          <t>0                      QD 0039200G  55          1989</t>
        </is>
      </c>
      <c r="D823" t="inlineStr">
        <is>
          <t>Chemical fundamentals of geology / Robin Gill.</t>
        </is>
      </c>
      <c r="F823" t="inlineStr">
        <is>
          <t>No</t>
        </is>
      </c>
      <c r="G823" t="inlineStr">
        <is>
          <t>1</t>
        </is>
      </c>
      <c r="H823" t="inlineStr">
        <is>
          <t>No</t>
        </is>
      </c>
      <c r="I823" t="inlineStr">
        <is>
          <t>No</t>
        </is>
      </c>
      <c r="J823" t="inlineStr">
        <is>
          <t>0</t>
        </is>
      </c>
      <c r="K823" t="inlineStr">
        <is>
          <t>Gill, Robin, 1944-</t>
        </is>
      </c>
      <c r="L823" t="inlineStr">
        <is>
          <t>London : Unwin Hyman, 1989.</t>
        </is>
      </c>
      <c r="M823" t="inlineStr">
        <is>
          <t>1989</t>
        </is>
      </c>
      <c r="O823" t="inlineStr">
        <is>
          <t>eng</t>
        </is>
      </c>
      <c r="P823" t="inlineStr">
        <is>
          <t>enk</t>
        </is>
      </c>
      <c r="R823" t="inlineStr">
        <is>
          <t xml:space="preserve">QD </t>
        </is>
      </c>
      <c r="S823" t="n">
        <v>5</v>
      </c>
      <c r="T823" t="n">
        <v>5</v>
      </c>
      <c r="U823" t="inlineStr">
        <is>
          <t>1997-03-17</t>
        </is>
      </c>
      <c r="V823" t="inlineStr">
        <is>
          <t>1997-03-17</t>
        </is>
      </c>
      <c r="W823" t="inlineStr">
        <is>
          <t>1993-01-18</t>
        </is>
      </c>
      <c r="X823" t="inlineStr">
        <is>
          <t>1993-01-18</t>
        </is>
      </c>
      <c r="Y823" t="n">
        <v>305</v>
      </c>
      <c r="Z823" t="n">
        <v>190</v>
      </c>
      <c r="AA823" t="n">
        <v>287</v>
      </c>
      <c r="AB823" t="n">
        <v>1</v>
      </c>
      <c r="AC823" t="n">
        <v>2</v>
      </c>
      <c r="AD823" t="n">
        <v>7</v>
      </c>
      <c r="AE823" t="n">
        <v>9</v>
      </c>
      <c r="AF823" t="n">
        <v>2</v>
      </c>
      <c r="AG823" t="n">
        <v>2</v>
      </c>
      <c r="AH823" t="n">
        <v>0</v>
      </c>
      <c r="AI823" t="n">
        <v>1</v>
      </c>
      <c r="AJ823" t="n">
        <v>5</v>
      </c>
      <c r="AK823" t="n">
        <v>5</v>
      </c>
      <c r="AL823" t="n">
        <v>0</v>
      </c>
      <c r="AM823" t="n">
        <v>1</v>
      </c>
      <c r="AN823" t="n">
        <v>0</v>
      </c>
      <c r="AO823" t="n">
        <v>0</v>
      </c>
      <c r="AP823" t="inlineStr">
        <is>
          <t>No</t>
        </is>
      </c>
      <c r="AQ823" t="inlineStr">
        <is>
          <t>Yes</t>
        </is>
      </c>
      <c r="AR823">
        <f>HYPERLINK("http://catalog.hathitrust.org/Record/001838130","HathiTrust Record")</f>
        <v/>
      </c>
      <c r="AS823">
        <f>HYPERLINK("https://creighton-primo.hosted.exlibrisgroup.com/primo-explore/search?tab=default_tab&amp;search_scope=EVERYTHING&amp;vid=01CRU&amp;lang=en_US&amp;offset=0&amp;query=any,contains,991001214349702656","Catalog Record")</f>
        <v/>
      </c>
      <c r="AT823">
        <f>HYPERLINK("http://www.worldcat.org/oclc/17413104","WorldCat Record")</f>
        <v/>
      </c>
      <c r="AU823" t="inlineStr">
        <is>
          <t>15605768:eng</t>
        </is>
      </c>
      <c r="AV823" t="inlineStr">
        <is>
          <t>17413104</t>
        </is>
      </c>
      <c r="AW823" t="inlineStr">
        <is>
          <t>991001214349702656</t>
        </is>
      </c>
      <c r="AX823" t="inlineStr">
        <is>
          <t>991001214349702656</t>
        </is>
      </c>
      <c r="AY823" t="inlineStr">
        <is>
          <t>2264954160002656</t>
        </is>
      </c>
      <c r="AZ823" t="inlineStr">
        <is>
          <t>BOOK</t>
        </is>
      </c>
      <c r="BB823" t="inlineStr">
        <is>
          <t>9780045511242</t>
        </is>
      </c>
      <c r="BC823" t="inlineStr">
        <is>
          <t>32285001399590</t>
        </is>
      </c>
      <c r="BD823" t="inlineStr">
        <is>
          <t>893602428</t>
        </is>
      </c>
    </row>
    <row r="824">
      <c r="A824" t="inlineStr">
        <is>
          <t>No</t>
        </is>
      </c>
      <c r="B824" t="inlineStr">
        <is>
          <t>QD39.3.E46 C45 2003</t>
        </is>
      </c>
      <c r="C824" t="inlineStr">
        <is>
          <t>0                      QD 0039300E  46                 C  45          2003</t>
        </is>
      </c>
      <c r="D824" t="inlineStr">
        <is>
          <t>Chemoinformatics : a textbook / Johann Gasteiger, Thomas Engel (eds.).</t>
        </is>
      </c>
      <c r="F824" t="inlineStr">
        <is>
          <t>No</t>
        </is>
      </c>
      <c r="G824" t="inlineStr">
        <is>
          <t>1</t>
        </is>
      </c>
      <c r="H824" t="inlineStr">
        <is>
          <t>No</t>
        </is>
      </c>
      <c r="I824" t="inlineStr">
        <is>
          <t>No</t>
        </is>
      </c>
      <c r="J824" t="inlineStr">
        <is>
          <t>0</t>
        </is>
      </c>
      <c r="L824" t="inlineStr">
        <is>
          <t>Weinheim : Wiley-VCH, c2003.</t>
        </is>
      </c>
      <c r="M824" t="inlineStr">
        <is>
          <t>2003</t>
        </is>
      </c>
      <c r="O824" t="inlineStr">
        <is>
          <t>eng</t>
        </is>
      </c>
      <c r="P824" t="inlineStr">
        <is>
          <t xml:space="preserve">gw </t>
        </is>
      </c>
      <c r="R824" t="inlineStr">
        <is>
          <t xml:space="preserve">QD </t>
        </is>
      </c>
      <c r="S824" t="n">
        <v>1</v>
      </c>
      <c r="T824" t="n">
        <v>1</v>
      </c>
      <c r="U824" t="inlineStr">
        <is>
          <t>2004-03-24</t>
        </is>
      </c>
      <c r="V824" t="inlineStr">
        <is>
          <t>2004-03-24</t>
        </is>
      </c>
      <c r="W824" t="inlineStr">
        <is>
          <t>2004-03-24</t>
        </is>
      </c>
      <c r="X824" t="inlineStr">
        <is>
          <t>2004-03-24</t>
        </is>
      </c>
      <c r="Y824" t="n">
        <v>310</v>
      </c>
      <c r="Z824" t="n">
        <v>227</v>
      </c>
      <c r="AA824" t="n">
        <v>294</v>
      </c>
      <c r="AB824" t="n">
        <v>2</v>
      </c>
      <c r="AC824" t="n">
        <v>2</v>
      </c>
      <c r="AD824" t="n">
        <v>6</v>
      </c>
      <c r="AE824" t="n">
        <v>6</v>
      </c>
      <c r="AF824" t="n">
        <v>1</v>
      </c>
      <c r="AG824" t="n">
        <v>1</v>
      </c>
      <c r="AH824" t="n">
        <v>2</v>
      </c>
      <c r="AI824" t="n">
        <v>2</v>
      </c>
      <c r="AJ824" t="n">
        <v>3</v>
      </c>
      <c r="AK824" t="n">
        <v>3</v>
      </c>
      <c r="AL824" t="n">
        <v>1</v>
      </c>
      <c r="AM824" t="n">
        <v>1</v>
      </c>
      <c r="AN824" t="n">
        <v>0</v>
      </c>
      <c r="AO824" t="n">
        <v>0</v>
      </c>
      <c r="AP824" t="inlineStr">
        <is>
          <t>No</t>
        </is>
      </c>
      <c r="AQ824" t="inlineStr">
        <is>
          <t>No</t>
        </is>
      </c>
      <c r="AS824">
        <f>HYPERLINK("https://creighton-primo.hosted.exlibrisgroup.com/primo-explore/search?tab=default_tab&amp;search_scope=EVERYTHING&amp;vid=01CRU&amp;lang=en_US&amp;offset=0&amp;query=any,contains,991004243299702656","Catalog Record")</f>
        <v/>
      </c>
      <c r="AT824">
        <f>HYPERLINK("http://www.worldcat.org/oclc/52785538","WorldCat Record")</f>
        <v/>
      </c>
      <c r="AU824" t="inlineStr">
        <is>
          <t>795476461:eng</t>
        </is>
      </c>
      <c r="AV824" t="inlineStr">
        <is>
          <t>52785538</t>
        </is>
      </c>
      <c r="AW824" t="inlineStr">
        <is>
          <t>991004243299702656</t>
        </is>
      </c>
      <c r="AX824" t="inlineStr">
        <is>
          <t>991004243299702656</t>
        </is>
      </c>
      <c r="AY824" t="inlineStr">
        <is>
          <t>2258361860002656</t>
        </is>
      </c>
      <c r="AZ824" t="inlineStr">
        <is>
          <t>BOOK</t>
        </is>
      </c>
      <c r="BB824" t="inlineStr">
        <is>
          <t>9783527306817</t>
        </is>
      </c>
      <c r="BC824" t="inlineStr">
        <is>
          <t>32285004896493</t>
        </is>
      </c>
      <c r="BD824" t="inlineStr">
        <is>
          <t>893900988</t>
        </is>
      </c>
    </row>
    <row r="825">
      <c r="A825" t="inlineStr">
        <is>
          <t>No</t>
        </is>
      </c>
      <c r="B825" t="inlineStr">
        <is>
          <t>QD39.3.E46 C48</t>
        </is>
      </c>
      <c r="C825" t="inlineStr">
        <is>
          <t>0                      QD 0039300E  46                 C  48</t>
        </is>
      </c>
      <c r="D825" t="inlineStr">
        <is>
          <t>Chemometrics : theory and application : a symposium / sponsored by the Division of Computers in Chemistry at the 172nd meeting of the American Chemical Society, San Francisco, Calif., Sept. 2, 1976 ; Bruce R. Kowalski, editor.</t>
        </is>
      </c>
      <c r="F825" t="inlineStr">
        <is>
          <t>No</t>
        </is>
      </c>
      <c r="G825" t="inlineStr">
        <is>
          <t>1</t>
        </is>
      </c>
      <c r="H825" t="inlineStr">
        <is>
          <t>No</t>
        </is>
      </c>
      <c r="I825" t="inlineStr">
        <is>
          <t>No</t>
        </is>
      </c>
      <c r="J825" t="inlineStr">
        <is>
          <t>0</t>
        </is>
      </c>
      <c r="L825" t="inlineStr">
        <is>
          <t>Washington : American Chemical Society, 1977.</t>
        </is>
      </c>
      <c r="M825" t="inlineStr">
        <is>
          <t>1977</t>
        </is>
      </c>
      <c r="O825" t="inlineStr">
        <is>
          <t>eng</t>
        </is>
      </c>
      <c r="P825" t="inlineStr">
        <is>
          <t>dcu</t>
        </is>
      </c>
      <c r="Q825" t="inlineStr">
        <is>
          <t>ACS symposium series, [0097-6156] ; 52</t>
        </is>
      </c>
      <c r="R825" t="inlineStr">
        <is>
          <t xml:space="preserve">QD </t>
        </is>
      </c>
      <c r="S825" t="n">
        <v>2</v>
      </c>
      <c r="T825" t="n">
        <v>2</v>
      </c>
      <c r="U825" t="inlineStr">
        <is>
          <t>1993-09-21</t>
        </is>
      </c>
      <c r="V825" t="inlineStr">
        <is>
          <t>1993-09-21</t>
        </is>
      </c>
      <c r="W825" t="inlineStr">
        <is>
          <t>1993-01-18</t>
        </is>
      </c>
      <c r="X825" t="inlineStr">
        <is>
          <t>1993-01-18</t>
        </is>
      </c>
      <c r="Y825" t="n">
        <v>366</v>
      </c>
      <c r="Z825" t="n">
        <v>302</v>
      </c>
      <c r="AA825" t="n">
        <v>340</v>
      </c>
      <c r="AB825" t="n">
        <v>3</v>
      </c>
      <c r="AC825" t="n">
        <v>3</v>
      </c>
      <c r="AD825" t="n">
        <v>14</v>
      </c>
      <c r="AE825" t="n">
        <v>14</v>
      </c>
      <c r="AF825" t="n">
        <v>4</v>
      </c>
      <c r="AG825" t="n">
        <v>4</v>
      </c>
      <c r="AH825" t="n">
        <v>3</v>
      </c>
      <c r="AI825" t="n">
        <v>3</v>
      </c>
      <c r="AJ825" t="n">
        <v>8</v>
      </c>
      <c r="AK825" t="n">
        <v>8</v>
      </c>
      <c r="AL825" t="n">
        <v>2</v>
      </c>
      <c r="AM825" t="n">
        <v>2</v>
      </c>
      <c r="AN825" t="n">
        <v>0</v>
      </c>
      <c r="AO825" t="n">
        <v>0</v>
      </c>
      <c r="AP825" t="inlineStr">
        <is>
          <t>No</t>
        </is>
      </c>
      <c r="AQ825" t="inlineStr">
        <is>
          <t>Yes</t>
        </is>
      </c>
      <c r="AR825">
        <f>HYPERLINK("http://catalog.hathitrust.org/Record/003328152","HathiTrust Record")</f>
        <v/>
      </c>
      <c r="AS825">
        <f>HYPERLINK("https://creighton-primo.hosted.exlibrisgroup.com/primo-explore/search?tab=default_tab&amp;search_scope=EVERYTHING&amp;vid=01CRU&amp;lang=en_US&amp;offset=0&amp;query=any,contains,991004334279702656","Catalog Record")</f>
        <v/>
      </c>
      <c r="AT825">
        <f>HYPERLINK("http://www.worldcat.org/oclc/3071821","WorldCat Record")</f>
        <v/>
      </c>
      <c r="AU825" t="inlineStr">
        <is>
          <t>364052362:eng</t>
        </is>
      </c>
      <c r="AV825" t="inlineStr">
        <is>
          <t>3071821</t>
        </is>
      </c>
      <c r="AW825" t="inlineStr">
        <is>
          <t>991004334279702656</t>
        </is>
      </c>
      <c r="AX825" t="inlineStr">
        <is>
          <t>991004334279702656</t>
        </is>
      </c>
      <c r="AY825" t="inlineStr">
        <is>
          <t>2267952260002656</t>
        </is>
      </c>
      <c r="AZ825" t="inlineStr">
        <is>
          <t>BOOK</t>
        </is>
      </c>
      <c r="BB825" t="inlineStr">
        <is>
          <t>9780841203792</t>
        </is>
      </c>
      <c r="BC825" t="inlineStr">
        <is>
          <t>32285001399632</t>
        </is>
      </c>
      <c r="BD825" t="inlineStr">
        <is>
          <t>893532278</t>
        </is>
      </c>
    </row>
    <row r="826">
      <c r="A826" t="inlineStr">
        <is>
          <t>No</t>
        </is>
      </c>
      <c r="B826" t="inlineStr">
        <is>
          <t>QD39.3.E46 H57 1990</t>
        </is>
      </c>
      <c r="C826" t="inlineStr">
        <is>
          <t>0                      QD 0039300E  46                 H  57          1990</t>
        </is>
      </c>
      <c r="D826" t="inlineStr">
        <is>
          <t>A computational approach to chemistry / David M. Hirst.</t>
        </is>
      </c>
      <c r="F826" t="inlineStr">
        <is>
          <t>No</t>
        </is>
      </c>
      <c r="G826" t="inlineStr">
        <is>
          <t>1</t>
        </is>
      </c>
      <c r="H826" t="inlineStr">
        <is>
          <t>No</t>
        </is>
      </c>
      <c r="I826" t="inlineStr">
        <is>
          <t>No</t>
        </is>
      </c>
      <c r="J826" t="inlineStr">
        <is>
          <t>0</t>
        </is>
      </c>
      <c r="K826" t="inlineStr">
        <is>
          <t>Hirst, David M. (David Michael)</t>
        </is>
      </c>
      <c r="L826" t="inlineStr">
        <is>
          <t>Oxford ; Boston : Blackwell Scientific Publications, 1990.</t>
        </is>
      </c>
      <c r="M826" t="inlineStr">
        <is>
          <t>1990</t>
        </is>
      </c>
      <c r="O826" t="inlineStr">
        <is>
          <t>eng</t>
        </is>
      </c>
      <c r="P826" t="inlineStr">
        <is>
          <t>enk</t>
        </is>
      </c>
      <c r="Q826" t="inlineStr">
        <is>
          <t>Physical chemistry texts</t>
        </is>
      </c>
      <c r="R826" t="inlineStr">
        <is>
          <t xml:space="preserve">QD </t>
        </is>
      </c>
      <c r="S826" t="n">
        <v>7</v>
      </c>
      <c r="T826" t="n">
        <v>7</v>
      </c>
      <c r="U826" t="inlineStr">
        <is>
          <t>1997-08-22</t>
        </is>
      </c>
      <c r="V826" t="inlineStr">
        <is>
          <t>1997-08-22</t>
        </is>
      </c>
      <c r="W826" t="inlineStr">
        <is>
          <t>1991-02-08</t>
        </is>
      </c>
      <c r="X826" t="inlineStr">
        <is>
          <t>1991-02-08</t>
        </is>
      </c>
      <c r="Y826" t="n">
        <v>396</v>
      </c>
      <c r="Z826" t="n">
        <v>274</v>
      </c>
      <c r="AA826" t="n">
        <v>279</v>
      </c>
      <c r="AB826" t="n">
        <v>2</v>
      </c>
      <c r="AC826" t="n">
        <v>2</v>
      </c>
      <c r="AD826" t="n">
        <v>11</v>
      </c>
      <c r="AE826" t="n">
        <v>11</v>
      </c>
      <c r="AF826" t="n">
        <v>3</v>
      </c>
      <c r="AG826" t="n">
        <v>3</v>
      </c>
      <c r="AH826" t="n">
        <v>3</v>
      </c>
      <c r="AI826" t="n">
        <v>3</v>
      </c>
      <c r="AJ826" t="n">
        <v>9</v>
      </c>
      <c r="AK826" t="n">
        <v>9</v>
      </c>
      <c r="AL826" t="n">
        <v>1</v>
      </c>
      <c r="AM826" t="n">
        <v>1</v>
      </c>
      <c r="AN826" t="n">
        <v>0</v>
      </c>
      <c r="AO826" t="n">
        <v>0</v>
      </c>
      <c r="AP826" t="inlineStr">
        <is>
          <t>No</t>
        </is>
      </c>
      <c r="AQ826" t="inlineStr">
        <is>
          <t>No</t>
        </is>
      </c>
      <c r="AS826">
        <f>HYPERLINK("https://creighton-primo.hosted.exlibrisgroup.com/primo-explore/search?tab=default_tab&amp;search_scope=EVERYTHING&amp;vid=01CRU&amp;lang=en_US&amp;offset=0&amp;query=any,contains,991001617559702656","Catalog Record")</f>
        <v/>
      </c>
      <c r="AT826">
        <f>HYPERLINK("http://www.worldcat.org/oclc/20798976","WorldCat Record")</f>
        <v/>
      </c>
      <c r="AU826" t="inlineStr">
        <is>
          <t>22824889:eng</t>
        </is>
      </c>
      <c r="AV826" t="inlineStr">
        <is>
          <t>20798976</t>
        </is>
      </c>
      <c r="AW826" t="inlineStr">
        <is>
          <t>991001617559702656</t>
        </is>
      </c>
      <c r="AX826" t="inlineStr">
        <is>
          <t>991001617559702656</t>
        </is>
      </c>
      <c r="AY826" t="inlineStr">
        <is>
          <t>2263244650002656</t>
        </is>
      </c>
      <c r="AZ826" t="inlineStr">
        <is>
          <t>BOOK</t>
        </is>
      </c>
      <c r="BB826" t="inlineStr">
        <is>
          <t>9780632027439</t>
        </is>
      </c>
      <c r="BC826" t="inlineStr">
        <is>
          <t>32285000463637</t>
        </is>
      </c>
      <c r="BD826" t="inlineStr">
        <is>
          <t>893497209</t>
        </is>
      </c>
    </row>
    <row r="827">
      <c r="A827" t="inlineStr">
        <is>
          <t>No</t>
        </is>
      </c>
      <c r="B827" t="inlineStr">
        <is>
          <t>QD39.3.E46 T45 2005</t>
        </is>
      </c>
      <c r="C827" t="inlineStr">
        <is>
          <t>0                      QD 0039300E  46                 T  45          2005</t>
        </is>
      </c>
      <c r="D827" t="inlineStr">
        <is>
          <t>Theory and applications of computational chemistry : the first forty years / editors, Clifford E. Dykstra ... [et al.].</t>
        </is>
      </c>
      <c r="F827" t="inlineStr">
        <is>
          <t>No</t>
        </is>
      </c>
      <c r="G827" t="inlineStr">
        <is>
          <t>1</t>
        </is>
      </c>
      <c r="H827" t="inlineStr">
        <is>
          <t>No</t>
        </is>
      </c>
      <c r="I827" t="inlineStr">
        <is>
          <t>No</t>
        </is>
      </c>
      <c r="J827" t="inlineStr">
        <is>
          <t>0</t>
        </is>
      </c>
      <c r="L827" t="inlineStr">
        <is>
          <t>Amsterdam ; Boston : Elsevier, 2005.</t>
        </is>
      </c>
      <c r="M827" t="inlineStr">
        <is>
          <t>2005</t>
        </is>
      </c>
      <c r="N827" t="inlineStr">
        <is>
          <t>1st ed.</t>
        </is>
      </c>
      <c r="O827" t="inlineStr">
        <is>
          <t>eng</t>
        </is>
      </c>
      <c r="P827" t="inlineStr">
        <is>
          <t xml:space="preserve">ne </t>
        </is>
      </c>
      <c r="R827" t="inlineStr">
        <is>
          <t xml:space="preserve">QD </t>
        </is>
      </c>
      <c r="S827" t="n">
        <v>1</v>
      </c>
      <c r="T827" t="n">
        <v>1</v>
      </c>
      <c r="U827" t="inlineStr">
        <is>
          <t>2009-11-18</t>
        </is>
      </c>
      <c r="V827" t="inlineStr">
        <is>
          <t>2009-11-18</t>
        </is>
      </c>
      <c r="W827" t="inlineStr">
        <is>
          <t>2006-02-27</t>
        </is>
      </c>
      <c r="X827" t="inlineStr">
        <is>
          <t>2006-02-27</t>
        </is>
      </c>
      <c r="Y827" t="n">
        <v>167</v>
      </c>
      <c r="Z827" t="n">
        <v>108</v>
      </c>
      <c r="AA827" t="n">
        <v>168</v>
      </c>
      <c r="AB827" t="n">
        <v>1</v>
      </c>
      <c r="AC827" t="n">
        <v>1</v>
      </c>
      <c r="AD827" t="n">
        <v>2</v>
      </c>
      <c r="AE827" t="n">
        <v>4</v>
      </c>
      <c r="AF827" t="n">
        <v>1</v>
      </c>
      <c r="AG827" t="n">
        <v>2</v>
      </c>
      <c r="AH827" t="n">
        <v>0</v>
      </c>
      <c r="AI827" t="n">
        <v>1</v>
      </c>
      <c r="AJ827" t="n">
        <v>1</v>
      </c>
      <c r="AK827" t="n">
        <v>1</v>
      </c>
      <c r="AL827" t="n">
        <v>0</v>
      </c>
      <c r="AM827" t="n">
        <v>0</v>
      </c>
      <c r="AN827" t="n">
        <v>0</v>
      </c>
      <c r="AO827" t="n">
        <v>0</v>
      </c>
      <c r="AP827" t="inlineStr">
        <is>
          <t>No</t>
        </is>
      </c>
      <c r="AQ827" t="inlineStr">
        <is>
          <t>No</t>
        </is>
      </c>
      <c r="AS827">
        <f>HYPERLINK("https://creighton-primo.hosted.exlibrisgroup.com/primo-explore/search?tab=default_tab&amp;search_scope=EVERYTHING&amp;vid=01CRU&amp;lang=en_US&amp;offset=0&amp;query=any,contains,991004751579702656","Catalog Record")</f>
        <v/>
      </c>
      <c r="AT827">
        <f>HYPERLINK("http://www.worldcat.org/oclc/60557552","WorldCat Record")</f>
        <v/>
      </c>
      <c r="AU827" t="inlineStr">
        <is>
          <t>800546416:eng</t>
        </is>
      </c>
      <c r="AV827" t="inlineStr">
        <is>
          <t>60557552</t>
        </is>
      </c>
      <c r="AW827" t="inlineStr">
        <is>
          <t>991004751579702656</t>
        </is>
      </c>
      <c r="AX827" t="inlineStr">
        <is>
          <t>991004751579702656</t>
        </is>
      </c>
      <c r="AY827" t="inlineStr">
        <is>
          <t>2255490740002656</t>
        </is>
      </c>
      <c r="AZ827" t="inlineStr">
        <is>
          <t>BOOK</t>
        </is>
      </c>
      <c r="BB827" t="inlineStr">
        <is>
          <t>9780444517197</t>
        </is>
      </c>
      <c r="BC827" t="inlineStr">
        <is>
          <t>32285005169536</t>
        </is>
      </c>
      <c r="BD827" t="inlineStr">
        <is>
          <t>893694276</t>
        </is>
      </c>
    </row>
    <row r="828">
      <c r="A828" t="inlineStr">
        <is>
          <t>No</t>
        </is>
      </c>
      <c r="B828" t="inlineStr">
        <is>
          <t>QD39.3.G73 C48 1991</t>
        </is>
      </c>
      <c r="C828" t="inlineStr">
        <is>
          <t>0                      QD 0039300G  73                 C  48          1991</t>
        </is>
      </c>
      <c r="D828" t="inlineStr">
        <is>
          <t>Chemical graph theory : introduction and fundamentals / edited by Danail Bonchev and Dennis H. Rouvray.</t>
        </is>
      </c>
      <c r="F828" t="inlineStr">
        <is>
          <t>No</t>
        </is>
      </c>
      <c r="G828" t="inlineStr">
        <is>
          <t>1</t>
        </is>
      </c>
      <c r="H828" t="inlineStr">
        <is>
          <t>No</t>
        </is>
      </c>
      <c r="I828" t="inlineStr">
        <is>
          <t>No</t>
        </is>
      </c>
      <c r="J828" t="inlineStr">
        <is>
          <t>0</t>
        </is>
      </c>
      <c r="L828" t="inlineStr">
        <is>
          <t>New York : Abacus Press, 1991.</t>
        </is>
      </c>
      <c r="M828" t="inlineStr">
        <is>
          <t>1991</t>
        </is>
      </c>
      <c r="O828" t="inlineStr">
        <is>
          <t>eng</t>
        </is>
      </c>
      <c r="P828" t="inlineStr">
        <is>
          <t>nyu</t>
        </is>
      </c>
      <c r="Q828" t="inlineStr">
        <is>
          <t>Mathematical chemistry ; v. 1</t>
        </is>
      </c>
      <c r="R828" t="inlineStr">
        <is>
          <t xml:space="preserve">QD </t>
        </is>
      </c>
      <c r="S828" t="n">
        <v>5</v>
      </c>
      <c r="T828" t="n">
        <v>5</v>
      </c>
      <c r="U828" t="inlineStr">
        <is>
          <t>1994-03-14</t>
        </is>
      </c>
      <c r="V828" t="inlineStr">
        <is>
          <t>1994-03-14</t>
        </is>
      </c>
      <c r="W828" t="inlineStr">
        <is>
          <t>1992-08-12</t>
        </is>
      </c>
      <c r="X828" t="inlineStr">
        <is>
          <t>1992-08-12</t>
        </is>
      </c>
      <c r="Y828" t="n">
        <v>110</v>
      </c>
      <c r="Z828" t="n">
        <v>70</v>
      </c>
      <c r="AA828" t="n">
        <v>106</v>
      </c>
      <c r="AB828" t="n">
        <v>2</v>
      </c>
      <c r="AC828" t="n">
        <v>2</v>
      </c>
      <c r="AD828" t="n">
        <v>4</v>
      </c>
      <c r="AE828" t="n">
        <v>4</v>
      </c>
      <c r="AF828" t="n">
        <v>0</v>
      </c>
      <c r="AG828" t="n">
        <v>0</v>
      </c>
      <c r="AH828" t="n">
        <v>3</v>
      </c>
      <c r="AI828" t="n">
        <v>3</v>
      </c>
      <c r="AJ828" t="n">
        <v>1</v>
      </c>
      <c r="AK828" t="n">
        <v>1</v>
      </c>
      <c r="AL828" t="n">
        <v>1</v>
      </c>
      <c r="AM828" t="n">
        <v>1</v>
      </c>
      <c r="AN828" t="n">
        <v>0</v>
      </c>
      <c r="AO828" t="n">
        <v>0</v>
      </c>
      <c r="AP828" t="inlineStr">
        <is>
          <t>No</t>
        </is>
      </c>
      <c r="AQ828" t="inlineStr">
        <is>
          <t>No</t>
        </is>
      </c>
      <c r="AS828">
        <f>HYPERLINK("https://creighton-primo.hosted.exlibrisgroup.com/primo-explore/search?tab=default_tab&amp;search_scope=EVERYTHING&amp;vid=01CRU&amp;lang=en_US&amp;offset=0&amp;query=any,contains,991001743879702656","Catalog Record")</f>
        <v/>
      </c>
      <c r="AT828">
        <f>HYPERLINK("http://www.worldcat.org/oclc/22109197","WorldCat Record")</f>
        <v/>
      </c>
      <c r="AU828" t="inlineStr">
        <is>
          <t>10177779380:eng</t>
        </is>
      </c>
      <c r="AV828" t="inlineStr">
        <is>
          <t>22109197</t>
        </is>
      </c>
      <c r="AW828" t="inlineStr">
        <is>
          <t>991001743879702656</t>
        </is>
      </c>
      <c r="AX828" t="inlineStr">
        <is>
          <t>991001743879702656</t>
        </is>
      </c>
      <c r="AY828" t="inlineStr">
        <is>
          <t>2268791300002656</t>
        </is>
      </c>
      <c r="AZ828" t="inlineStr">
        <is>
          <t>BOOK</t>
        </is>
      </c>
      <c r="BB828" t="inlineStr">
        <is>
          <t>9780856264542</t>
        </is>
      </c>
      <c r="BC828" t="inlineStr">
        <is>
          <t>32285001197283</t>
        </is>
      </c>
      <c r="BD828" t="inlineStr">
        <is>
          <t>893791668</t>
        </is>
      </c>
    </row>
    <row r="829">
      <c r="A829" t="inlineStr">
        <is>
          <t>No</t>
        </is>
      </c>
      <c r="B829" t="inlineStr">
        <is>
          <t>QD39.3.G73 T75 1992</t>
        </is>
      </c>
      <c r="C829" t="inlineStr">
        <is>
          <t>0                      QD 0039300G  73                 T  75          1992</t>
        </is>
      </c>
      <c r="D829" t="inlineStr">
        <is>
          <t>Chemical graph theory / Nenad Trinajstić.</t>
        </is>
      </c>
      <c r="F829" t="inlineStr">
        <is>
          <t>No</t>
        </is>
      </c>
      <c r="G829" t="inlineStr">
        <is>
          <t>1</t>
        </is>
      </c>
      <c r="H829" t="inlineStr">
        <is>
          <t>No</t>
        </is>
      </c>
      <c r="I829" t="inlineStr">
        <is>
          <t>No</t>
        </is>
      </c>
      <c r="J829" t="inlineStr">
        <is>
          <t>0</t>
        </is>
      </c>
      <c r="K829" t="inlineStr">
        <is>
          <t>Trinajstić, Nenad, 1936-</t>
        </is>
      </c>
      <c r="L829" t="inlineStr">
        <is>
          <t>Boca Raton : CRC Press, c1992.</t>
        </is>
      </c>
      <c r="M829" t="inlineStr">
        <is>
          <t>1992</t>
        </is>
      </c>
      <c r="N829" t="inlineStr">
        <is>
          <t>2nd ed.</t>
        </is>
      </c>
      <c r="O829" t="inlineStr">
        <is>
          <t>eng</t>
        </is>
      </c>
      <c r="P829" t="inlineStr">
        <is>
          <t>flu</t>
        </is>
      </c>
      <c r="Q829" t="inlineStr">
        <is>
          <t>Mathematical chemistry series</t>
        </is>
      </c>
      <c r="R829" t="inlineStr">
        <is>
          <t xml:space="preserve">QD </t>
        </is>
      </c>
      <c r="S829" t="n">
        <v>7</v>
      </c>
      <c r="T829" t="n">
        <v>7</v>
      </c>
      <c r="U829" t="inlineStr">
        <is>
          <t>1998-01-19</t>
        </is>
      </c>
      <c r="V829" t="inlineStr">
        <is>
          <t>1998-01-19</t>
        </is>
      </c>
      <c r="W829" t="inlineStr">
        <is>
          <t>1992-06-10</t>
        </is>
      </c>
      <c r="X829" t="inlineStr">
        <is>
          <t>1992-06-10</t>
        </is>
      </c>
      <c r="Y829" t="n">
        <v>204</v>
      </c>
      <c r="Z829" t="n">
        <v>171</v>
      </c>
      <c r="AA829" t="n">
        <v>314</v>
      </c>
      <c r="AB829" t="n">
        <v>3</v>
      </c>
      <c r="AC829" t="n">
        <v>3</v>
      </c>
      <c r="AD829" t="n">
        <v>10</v>
      </c>
      <c r="AE829" t="n">
        <v>14</v>
      </c>
      <c r="AF829" t="n">
        <v>2</v>
      </c>
      <c r="AG829" t="n">
        <v>3</v>
      </c>
      <c r="AH829" t="n">
        <v>4</v>
      </c>
      <c r="AI829" t="n">
        <v>5</v>
      </c>
      <c r="AJ829" t="n">
        <v>6</v>
      </c>
      <c r="AK829" t="n">
        <v>8</v>
      </c>
      <c r="AL829" t="n">
        <v>2</v>
      </c>
      <c r="AM829" t="n">
        <v>2</v>
      </c>
      <c r="AN829" t="n">
        <v>0</v>
      </c>
      <c r="AO829" t="n">
        <v>0</v>
      </c>
      <c r="AP829" t="inlineStr">
        <is>
          <t>No</t>
        </is>
      </c>
      <c r="AQ829" t="inlineStr">
        <is>
          <t>No</t>
        </is>
      </c>
      <c r="AS829">
        <f>HYPERLINK("https://creighton-primo.hosted.exlibrisgroup.com/primo-explore/search?tab=default_tab&amp;search_scope=EVERYTHING&amp;vid=01CRU&amp;lang=en_US&amp;offset=0&amp;query=any,contains,991001930079702656","Catalog Record")</f>
        <v/>
      </c>
      <c r="AT829">
        <f>HYPERLINK("http://www.worldcat.org/oclc/24375995","WorldCat Record")</f>
        <v/>
      </c>
      <c r="AU829" t="inlineStr">
        <is>
          <t>26711129:eng</t>
        </is>
      </c>
      <c r="AV829" t="inlineStr">
        <is>
          <t>24375995</t>
        </is>
      </c>
      <c r="AW829" t="inlineStr">
        <is>
          <t>991001930079702656</t>
        </is>
      </c>
      <c r="AX829" t="inlineStr">
        <is>
          <t>991001930079702656</t>
        </is>
      </c>
      <c r="AY829" t="inlineStr">
        <is>
          <t>2263002490002656</t>
        </is>
      </c>
      <c r="AZ829" t="inlineStr">
        <is>
          <t>BOOK</t>
        </is>
      </c>
      <c r="BB829" t="inlineStr">
        <is>
          <t>9780849342561</t>
        </is>
      </c>
      <c r="BC829" t="inlineStr">
        <is>
          <t>32285001127504</t>
        </is>
      </c>
      <c r="BD829" t="inlineStr">
        <is>
          <t>893414635</t>
        </is>
      </c>
    </row>
    <row r="830">
      <c r="A830" t="inlineStr">
        <is>
          <t>No</t>
        </is>
      </c>
      <c r="B830" t="inlineStr">
        <is>
          <t>QD39.3.M3 C48</t>
        </is>
      </c>
      <c r="C830" t="inlineStr">
        <is>
          <t>0                      QD 0039300M  3                  C  48</t>
        </is>
      </c>
      <c r="D830" t="inlineStr">
        <is>
          <t>Chemical applications of graph theory / edited by A. T. Balaban.</t>
        </is>
      </c>
      <c r="F830" t="inlineStr">
        <is>
          <t>No</t>
        </is>
      </c>
      <c r="G830" t="inlineStr">
        <is>
          <t>1</t>
        </is>
      </c>
      <c r="H830" t="inlineStr">
        <is>
          <t>No</t>
        </is>
      </c>
      <c r="I830" t="inlineStr">
        <is>
          <t>No</t>
        </is>
      </c>
      <c r="J830" t="inlineStr">
        <is>
          <t>0</t>
        </is>
      </c>
      <c r="L830" t="inlineStr">
        <is>
          <t>London ; New York : Academic Press, 1976.</t>
        </is>
      </c>
      <c r="M830" t="inlineStr">
        <is>
          <t>1976</t>
        </is>
      </c>
      <c r="O830" t="inlineStr">
        <is>
          <t>eng</t>
        </is>
      </c>
      <c r="P830" t="inlineStr">
        <is>
          <t>enk</t>
        </is>
      </c>
      <c r="R830" t="inlineStr">
        <is>
          <t xml:space="preserve">QD </t>
        </is>
      </c>
      <c r="S830" t="n">
        <v>5</v>
      </c>
      <c r="T830" t="n">
        <v>5</v>
      </c>
      <c r="U830" t="inlineStr">
        <is>
          <t>1994-03-14</t>
        </is>
      </c>
      <c r="V830" t="inlineStr">
        <is>
          <t>1994-03-14</t>
        </is>
      </c>
      <c r="W830" t="inlineStr">
        <is>
          <t>1993-01-18</t>
        </is>
      </c>
      <c r="X830" t="inlineStr">
        <is>
          <t>1993-01-18</t>
        </is>
      </c>
      <c r="Y830" t="n">
        <v>368</v>
      </c>
      <c r="Z830" t="n">
        <v>249</v>
      </c>
      <c r="AA830" t="n">
        <v>250</v>
      </c>
      <c r="AB830" t="n">
        <v>2</v>
      </c>
      <c r="AC830" t="n">
        <v>2</v>
      </c>
      <c r="AD830" t="n">
        <v>11</v>
      </c>
      <c r="AE830" t="n">
        <v>11</v>
      </c>
      <c r="AF830" t="n">
        <v>2</v>
      </c>
      <c r="AG830" t="n">
        <v>2</v>
      </c>
      <c r="AH830" t="n">
        <v>5</v>
      </c>
      <c r="AI830" t="n">
        <v>5</v>
      </c>
      <c r="AJ830" t="n">
        <v>8</v>
      </c>
      <c r="AK830" t="n">
        <v>8</v>
      </c>
      <c r="AL830" t="n">
        <v>1</v>
      </c>
      <c r="AM830" t="n">
        <v>1</v>
      </c>
      <c r="AN830" t="n">
        <v>0</v>
      </c>
      <c r="AO830" t="n">
        <v>0</v>
      </c>
      <c r="AP830" t="inlineStr">
        <is>
          <t>No</t>
        </is>
      </c>
      <c r="AQ830" t="inlineStr">
        <is>
          <t>Yes</t>
        </is>
      </c>
      <c r="AR830">
        <f>HYPERLINK("http://catalog.hathitrust.org/Record/000169396","HathiTrust Record")</f>
        <v/>
      </c>
      <c r="AS830">
        <f>HYPERLINK("https://creighton-primo.hosted.exlibrisgroup.com/primo-explore/search?tab=default_tab&amp;search_scope=EVERYTHING&amp;vid=01CRU&amp;lang=en_US&amp;offset=0&amp;query=any,contains,991004200899702656","Catalog Record")</f>
        <v/>
      </c>
      <c r="AT830">
        <f>HYPERLINK("http://www.worldcat.org/oclc/2652660","WorldCat Record")</f>
        <v/>
      </c>
      <c r="AU830" t="inlineStr">
        <is>
          <t>5497311:eng</t>
        </is>
      </c>
      <c r="AV830" t="inlineStr">
        <is>
          <t>2652660</t>
        </is>
      </c>
      <c r="AW830" t="inlineStr">
        <is>
          <t>991004200899702656</t>
        </is>
      </c>
      <c r="AX830" t="inlineStr">
        <is>
          <t>991004200899702656</t>
        </is>
      </c>
      <c r="AY830" t="inlineStr">
        <is>
          <t>2257584460002656</t>
        </is>
      </c>
      <c r="AZ830" t="inlineStr">
        <is>
          <t>BOOK</t>
        </is>
      </c>
      <c r="BB830" t="inlineStr">
        <is>
          <t>9780120760503</t>
        </is>
      </c>
      <c r="BC830" t="inlineStr">
        <is>
          <t>32285001399715</t>
        </is>
      </c>
      <c r="BD830" t="inlineStr">
        <is>
          <t>893423500</t>
        </is>
      </c>
    </row>
    <row r="831">
      <c r="A831" t="inlineStr">
        <is>
          <t>No</t>
        </is>
      </c>
      <c r="B831" t="inlineStr">
        <is>
          <t>QD39.3.M3 M34</t>
        </is>
      </c>
      <c r="C831" t="inlineStr">
        <is>
          <t>0                      QD 0039300M  3                  M  34</t>
        </is>
      </c>
      <c r="D831" t="inlineStr">
        <is>
          <t>Factor analysis in chemistry / Edmund R. Malinowski, Darryl G. Howery.</t>
        </is>
      </c>
      <c r="F831" t="inlineStr">
        <is>
          <t>No</t>
        </is>
      </c>
      <c r="G831" t="inlineStr">
        <is>
          <t>1</t>
        </is>
      </c>
      <c r="H831" t="inlineStr">
        <is>
          <t>No</t>
        </is>
      </c>
      <c r="I831" t="inlineStr">
        <is>
          <t>No</t>
        </is>
      </c>
      <c r="J831" t="inlineStr">
        <is>
          <t>0</t>
        </is>
      </c>
      <c r="K831" t="inlineStr">
        <is>
          <t>Malinowski, Edmund R.</t>
        </is>
      </c>
      <c r="L831" t="inlineStr">
        <is>
          <t>New York : Wiley, c1980.</t>
        </is>
      </c>
      <c r="M831" t="inlineStr">
        <is>
          <t>1980</t>
        </is>
      </c>
      <c r="O831" t="inlineStr">
        <is>
          <t>eng</t>
        </is>
      </c>
      <c r="P831" t="inlineStr">
        <is>
          <t>nyu</t>
        </is>
      </c>
      <c r="R831" t="inlineStr">
        <is>
          <t xml:space="preserve">QD </t>
        </is>
      </c>
      <c r="S831" t="n">
        <v>2</v>
      </c>
      <c r="T831" t="n">
        <v>2</v>
      </c>
      <c r="U831" t="inlineStr">
        <is>
          <t>1998-02-06</t>
        </is>
      </c>
      <c r="V831" t="inlineStr">
        <is>
          <t>1998-02-06</t>
        </is>
      </c>
      <c r="W831" t="inlineStr">
        <is>
          <t>1993-01-18</t>
        </is>
      </c>
      <c r="X831" t="inlineStr">
        <is>
          <t>1993-01-18</t>
        </is>
      </c>
      <c r="Y831" t="n">
        <v>409</v>
      </c>
      <c r="Z831" t="n">
        <v>307</v>
      </c>
      <c r="AA831" t="n">
        <v>525</v>
      </c>
      <c r="AB831" t="n">
        <v>2</v>
      </c>
      <c r="AC831" t="n">
        <v>4</v>
      </c>
      <c r="AD831" t="n">
        <v>11</v>
      </c>
      <c r="AE831" t="n">
        <v>23</v>
      </c>
      <c r="AF831" t="n">
        <v>2</v>
      </c>
      <c r="AG831" t="n">
        <v>7</v>
      </c>
      <c r="AH831" t="n">
        <v>5</v>
      </c>
      <c r="AI831" t="n">
        <v>7</v>
      </c>
      <c r="AJ831" t="n">
        <v>7</v>
      </c>
      <c r="AK831" t="n">
        <v>13</v>
      </c>
      <c r="AL831" t="n">
        <v>1</v>
      </c>
      <c r="AM831" t="n">
        <v>3</v>
      </c>
      <c r="AN831" t="n">
        <v>0</v>
      </c>
      <c r="AO831" t="n">
        <v>0</v>
      </c>
      <c r="AP831" t="inlineStr">
        <is>
          <t>No</t>
        </is>
      </c>
      <c r="AQ831" t="inlineStr">
        <is>
          <t>Yes</t>
        </is>
      </c>
      <c r="AR831">
        <f>HYPERLINK("http://catalog.hathitrust.org/Record/003617381","HathiTrust Record")</f>
        <v/>
      </c>
      <c r="AS831">
        <f>HYPERLINK("https://creighton-primo.hosted.exlibrisgroup.com/primo-explore/search?tab=default_tab&amp;search_scope=EVERYTHING&amp;vid=01CRU&amp;lang=en_US&amp;offset=0&amp;query=any,contains,991004895219702656","Catalog Record")</f>
        <v/>
      </c>
      <c r="AT831">
        <f>HYPERLINK("http://www.worldcat.org/oclc/5892847","WorldCat Record")</f>
        <v/>
      </c>
      <c r="AU831" t="inlineStr">
        <is>
          <t>17468437:eng</t>
        </is>
      </c>
      <c r="AV831" t="inlineStr">
        <is>
          <t>5892847</t>
        </is>
      </c>
      <c r="AW831" t="inlineStr">
        <is>
          <t>991004895219702656</t>
        </is>
      </c>
      <c r="AX831" t="inlineStr">
        <is>
          <t>991004895219702656</t>
        </is>
      </c>
      <c r="AY831" t="inlineStr">
        <is>
          <t>2264726910002656</t>
        </is>
      </c>
      <c r="AZ831" t="inlineStr">
        <is>
          <t>BOOK</t>
        </is>
      </c>
      <c r="BB831" t="inlineStr">
        <is>
          <t>9780471058816</t>
        </is>
      </c>
      <c r="BC831" t="inlineStr">
        <is>
          <t>32285001399731</t>
        </is>
      </c>
      <c r="BD831" t="inlineStr">
        <is>
          <t>893332152</t>
        </is>
      </c>
    </row>
    <row r="832">
      <c r="A832" t="inlineStr">
        <is>
          <t>No</t>
        </is>
      </c>
      <c r="B832" t="inlineStr">
        <is>
          <t>QD39.3.M3 M491 1990</t>
        </is>
      </c>
      <c r="C832" t="inlineStr">
        <is>
          <t>0                      QD 0039300M  3                  M  491         1990</t>
        </is>
      </c>
      <c r="D832" t="inlineStr">
        <is>
          <t>Chemical modeling of aqueous systems II / Daniel C. Melchior, editor, R. L. Bassett, editor.</t>
        </is>
      </c>
      <c r="F832" t="inlineStr">
        <is>
          <t>No</t>
        </is>
      </c>
      <c r="G832" t="inlineStr">
        <is>
          <t>1</t>
        </is>
      </c>
      <c r="H832" t="inlineStr">
        <is>
          <t>No</t>
        </is>
      </c>
      <c r="I832" t="inlineStr">
        <is>
          <t>No</t>
        </is>
      </c>
      <c r="J832" t="inlineStr">
        <is>
          <t>0</t>
        </is>
      </c>
      <c r="L832" t="inlineStr">
        <is>
          <t>Washington, DC : American Chemical Society, 1990.</t>
        </is>
      </c>
      <c r="M832" t="inlineStr">
        <is>
          <t>1990</t>
        </is>
      </c>
      <c r="O832" t="inlineStr">
        <is>
          <t>eng</t>
        </is>
      </c>
      <c r="P832" t="inlineStr">
        <is>
          <t>dcu</t>
        </is>
      </c>
      <c r="Q832" t="inlineStr">
        <is>
          <t>ACS symposium series, 0097-6156 ; 416</t>
        </is>
      </c>
      <c r="R832" t="inlineStr">
        <is>
          <t xml:space="preserve">QD </t>
        </is>
      </c>
      <c r="S832" t="n">
        <v>2</v>
      </c>
      <c r="T832" t="n">
        <v>2</v>
      </c>
      <c r="U832" t="inlineStr">
        <is>
          <t>1996-07-10</t>
        </is>
      </c>
      <c r="V832" t="inlineStr">
        <is>
          <t>1996-07-10</t>
        </is>
      </c>
      <c r="W832" t="inlineStr">
        <is>
          <t>1991-01-03</t>
        </is>
      </c>
      <c r="X832" t="inlineStr">
        <is>
          <t>1991-01-03</t>
        </is>
      </c>
      <c r="Y832" t="n">
        <v>289</v>
      </c>
      <c r="Z832" t="n">
        <v>225</v>
      </c>
      <c r="AA832" t="n">
        <v>241</v>
      </c>
      <c r="AB832" t="n">
        <v>3</v>
      </c>
      <c r="AC832" t="n">
        <v>3</v>
      </c>
      <c r="AD832" t="n">
        <v>6</v>
      </c>
      <c r="AE832" t="n">
        <v>6</v>
      </c>
      <c r="AF832" t="n">
        <v>1</v>
      </c>
      <c r="AG832" t="n">
        <v>1</v>
      </c>
      <c r="AH832" t="n">
        <v>2</v>
      </c>
      <c r="AI832" t="n">
        <v>2</v>
      </c>
      <c r="AJ832" t="n">
        <v>2</v>
      </c>
      <c r="AK832" t="n">
        <v>2</v>
      </c>
      <c r="AL832" t="n">
        <v>2</v>
      </c>
      <c r="AM832" t="n">
        <v>2</v>
      </c>
      <c r="AN832" t="n">
        <v>0</v>
      </c>
      <c r="AO832" t="n">
        <v>0</v>
      </c>
      <c r="AP832" t="inlineStr">
        <is>
          <t>No</t>
        </is>
      </c>
      <c r="AQ832" t="inlineStr">
        <is>
          <t>Yes</t>
        </is>
      </c>
      <c r="AR832">
        <f>HYPERLINK("http://catalog.hathitrust.org/Record/001831118","HathiTrust Record")</f>
        <v/>
      </c>
      <c r="AS832">
        <f>HYPERLINK("https://creighton-primo.hosted.exlibrisgroup.com/primo-explore/search?tab=default_tab&amp;search_scope=EVERYTHING&amp;vid=01CRU&amp;lang=en_US&amp;offset=0&amp;query=any,contains,991001592129702656","Catalog Record")</f>
        <v/>
      </c>
      <c r="AT832">
        <f>HYPERLINK("http://www.worldcat.org/oclc/20593577","WorldCat Record")</f>
        <v/>
      </c>
      <c r="AU832" t="inlineStr">
        <is>
          <t>365601371:eng</t>
        </is>
      </c>
      <c r="AV832" t="inlineStr">
        <is>
          <t>20593577</t>
        </is>
      </c>
      <c r="AW832" t="inlineStr">
        <is>
          <t>991001592129702656</t>
        </is>
      </c>
      <c r="AX832" t="inlineStr">
        <is>
          <t>991001592129702656</t>
        </is>
      </c>
      <c r="AY832" t="inlineStr">
        <is>
          <t>2266995780002656</t>
        </is>
      </c>
      <c r="AZ832" t="inlineStr">
        <is>
          <t>BOOK</t>
        </is>
      </c>
      <c r="BB832" t="inlineStr">
        <is>
          <t>9780841217294</t>
        </is>
      </c>
      <c r="BC832" t="inlineStr">
        <is>
          <t>32285000406396</t>
        </is>
      </c>
      <c r="BD832" t="inlineStr">
        <is>
          <t>893328223</t>
        </is>
      </c>
    </row>
    <row r="833">
      <c r="A833" t="inlineStr">
        <is>
          <t>No</t>
        </is>
      </c>
      <c r="B833" t="inlineStr">
        <is>
          <t>QD39.3.M3 N67</t>
        </is>
      </c>
      <c r="C833" t="inlineStr">
        <is>
          <t>0                      QD 0039300M  3                  N  67</t>
        </is>
      </c>
      <c r="D833" t="inlineStr">
        <is>
          <t>Computational chemistry : an introduction to numerical methods / A. C. Norris.</t>
        </is>
      </c>
      <c r="F833" t="inlineStr">
        <is>
          <t>No</t>
        </is>
      </c>
      <c r="G833" t="inlineStr">
        <is>
          <t>1</t>
        </is>
      </c>
      <c r="H833" t="inlineStr">
        <is>
          <t>No</t>
        </is>
      </c>
      <c r="I833" t="inlineStr">
        <is>
          <t>No</t>
        </is>
      </c>
      <c r="J833" t="inlineStr">
        <is>
          <t>0</t>
        </is>
      </c>
      <c r="K833" t="inlineStr">
        <is>
          <t>Norris, A. C. (Anthony Charles)</t>
        </is>
      </c>
      <c r="L833" t="inlineStr">
        <is>
          <t>Chichester [Eng.] ; New York : Wiley, 1981.</t>
        </is>
      </c>
      <c r="M833" t="inlineStr">
        <is>
          <t>1981</t>
        </is>
      </c>
      <c r="O833" t="inlineStr">
        <is>
          <t>eng</t>
        </is>
      </c>
      <c r="P833" t="inlineStr">
        <is>
          <t>enk</t>
        </is>
      </c>
      <c r="R833" t="inlineStr">
        <is>
          <t xml:space="preserve">QD </t>
        </is>
      </c>
      <c r="S833" t="n">
        <v>3</v>
      </c>
      <c r="T833" t="n">
        <v>3</v>
      </c>
      <c r="U833" t="inlineStr">
        <is>
          <t>2009-04-30</t>
        </is>
      </c>
      <c r="V833" t="inlineStr">
        <is>
          <t>2009-04-30</t>
        </is>
      </c>
      <c r="W833" t="inlineStr">
        <is>
          <t>1993-01-18</t>
        </is>
      </c>
      <c r="X833" t="inlineStr">
        <is>
          <t>1993-01-18</t>
        </is>
      </c>
      <c r="Y833" t="n">
        <v>536</v>
      </c>
      <c r="Z833" t="n">
        <v>421</v>
      </c>
      <c r="AA833" t="n">
        <v>428</v>
      </c>
      <c r="AB833" t="n">
        <v>4</v>
      </c>
      <c r="AC833" t="n">
        <v>4</v>
      </c>
      <c r="AD833" t="n">
        <v>20</v>
      </c>
      <c r="AE833" t="n">
        <v>20</v>
      </c>
      <c r="AF833" t="n">
        <v>9</v>
      </c>
      <c r="AG833" t="n">
        <v>9</v>
      </c>
      <c r="AH833" t="n">
        <v>5</v>
      </c>
      <c r="AI833" t="n">
        <v>5</v>
      </c>
      <c r="AJ833" t="n">
        <v>11</v>
      </c>
      <c r="AK833" t="n">
        <v>11</v>
      </c>
      <c r="AL833" t="n">
        <v>3</v>
      </c>
      <c r="AM833" t="n">
        <v>3</v>
      </c>
      <c r="AN833" t="n">
        <v>0</v>
      </c>
      <c r="AO833" t="n">
        <v>0</v>
      </c>
      <c r="AP833" t="inlineStr">
        <is>
          <t>No</t>
        </is>
      </c>
      <c r="AQ833" t="inlineStr">
        <is>
          <t>Yes</t>
        </is>
      </c>
      <c r="AR833">
        <f>HYPERLINK("http://catalog.hathitrust.org/Record/000146258","HathiTrust Record")</f>
        <v/>
      </c>
      <c r="AS833">
        <f>HYPERLINK("https://creighton-primo.hosted.exlibrisgroup.com/primo-explore/search?tab=default_tab&amp;search_scope=EVERYTHING&amp;vid=01CRU&amp;lang=en_US&amp;offset=0&amp;query=any,contains,991005087719702656","Catalog Record")</f>
        <v/>
      </c>
      <c r="AT833">
        <f>HYPERLINK("http://www.worldcat.org/oclc/7197506","WorldCat Record")</f>
        <v/>
      </c>
      <c r="AU833" t="inlineStr">
        <is>
          <t>889030755:eng</t>
        </is>
      </c>
      <c r="AV833" t="inlineStr">
        <is>
          <t>7197506</t>
        </is>
      </c>
      <c r="AW833" t="inlineStr">
        <is>
          <t>991005087719702656</t>
        </is>
      </c>
      <c r="AX833" t="inlineStr">
        <is>
          <t>991005087719702656</t>
        </is>
      </c>
      <c r="AY833" t="inlineStr">
        <is>
          <t>2256722850002656</t>
        </is>
      </c>
      <c r="AZ833" t="inlineStr">
        <is>
          <t>BOOK</t>
        </is>
      </c>
      <c r="BB833" t="inlineStr">
        <is>
          <t>9780471279495</t>
        </is>
      </c>
      <c r="BC833" t="inlineStr">
        <is>
          <t>32285001399749</t>
        </is>
      </c>
      <c r="BD833" t="inlineStr">
        <is>
          <t>893625424</t>
        </is>
      </c>
    </row>
    <row r="834">
      <c r="A834" t="inlineStr">
        <is>
          <t>No</t>
        </is>
      </c>
      <c r="B834" t="inlineStr">
        <is>
          <t>QD39.3.M3 S73 1989</t>
        </is>
      </c>
      <c r="C834" t="inlineStr">
        <is>
          <t>0                      QD 0039300M  3                  S  73          1989</t>
        </is>
      </c>
      <c r="D834" t="inlineStr">
        <is>
          <t>Mathematical methods in chemistry and physics / Michael E. Starzak.</t>
        </is>
      </c>
      <c r="F834" t="inlineStr">
        <is>
          <t>No</t>
        </is>
      </c>
      <c r="G834" t="inlineStr">
        <is>
          <t>1</t>
        </is>
      </c>
      <c r="H834" t="inlineStr">
        <is>
          <t>No</t>
        </is>
      </c>
      <c r="I834" t="inlineStr">
        <is>
          <t>No</t>
        </is>
      </c>
      <c r="J834" t="inlineStr">
        <is>
          <t>0</t>
        </is>
      </c>
      <c r="K834" t="inlineStr">
        <is>
          <t>Starzak, Michael E.</t>
        </is>
      </c>
      <c r="L834" t="inlineStr">
        <is>
          <t>New York : Plenum Press, c1989.</t>
        </is>
      </c>
      <c r="M834" t="inlineStr">
        <is>
          <t>1989</t>
        </is>
      </c>
      <c r="O834" t="inlineStr">
        <is>
          <t>eng</t>
        </is>
      </c>
      <c r="P834" t="inlineStr">
        <is>
          <t>nyu</t>
        </is>
      </c>
      <c r="R834" t="inlineStr">
        <is>
          <t xml:space="preserve">QD </t>
        </is>
      </c>
      <c r="S834" t="n">
        <v>15</v>
      </c>
      <c r="T834" t="n">
        <v>15</v>
      </c>
      <c r="U834" t="inlineStr">
        <is>
          <t>2009-09-02</t>
        </is>
      </c>
      <c r="V834" t="inlineStr">
        <is>
          <t>2009-09-02</t>
        </is>
      </c>
      <c r="W834" t="inlineStr">
        <is>
          <t>1992-07-03</t>
        </is>
      </c>
      <c r="X834" t="inlineStr">
        <is>
          <t>1992-07-03</t>
        </is>
      </c>
      <c r="Y834" t="n">
        <v>435</v>
      </c>
      <c r="Z834" t="n">
        <v>325</v>
      </c>
      <c r="AA834" t="n">
        <v>340</v>
      </c>
      <c r="AB834" t="n">
        <v>1</v>
      </c>
      <c r="AC834" t="n">
        <v>1</v>
      </c>
      <c r="AD834" t="n">
        <v>12</v>
      </c>
      <c r="AE834" t="n">
        <v>13</v>
      </c>
      <c r="AF834" t="n">
        <v>5</v>
      </c>
      <c r="AG834" t="n">
        <v>6</v>
      </c>
      <c r="AH834" t="n">
        <v>4</v>
      </c>
      <c r="AI834" t="n">
        <v>4</v>
      </c>
      <c r="AJ834" t="n">
        <v>7</v>
      </c>
      <c r="AK834" t="n">
        <v>8</v>
      </c>
      <c r="AL834" t="n">
        <v>0</v>
      </c>
      <c r="AM834" t="n">
        <v>0</v>
      </c>
      <c r="AN834" t="n">
        <v>0</v>
      </c>
      <c r="AO834" t="n">
        <v>0</v>
      </c>
      <c r="AP834" t="inlineStr">
        <is>
          <t>No</t>
        </is>
      </c>
      <c r="AQ834" t="inlineStr">
        <is>
          <t>No</t>
        </is>
      </c>
      <c r="AS834">
        <f>HYPERLINK("https://creighton-primo.hosted.exlibrisgroup.com/primo-explore/search?tab=default_tab&amp;search_scope=EVERYTHING&amp;vid=01CRU&amp;lang=en_US&amp;offset=0&amp;query=any,contains,991001398409702656","Catalog Record")</f>
        <v/>
      </c>
      <c r="AT834">
        <f>HYPERLINK("http://www.worldcat.org/oclc/18814389","WorldCat Record")</f>
        <v/>
      </c>
      <c r="AU834" t="inlineStr">
        <is>
          <t>18418070:eng</t>
        </is>
      </c>
      <c r="AV834" t="inlineStr">
        <is>
          <t>18814389</t>
        </is>
      </c>
      <c r="AW834" t="inlineStr">
        <is>
          <t>991001398409702656</t>
        </is>
      </c>
      <c r="AX834" t="inlineStr">
        <is>
          <t>991001398409702656</t>
        </is>
      </c>
      <c r="AY834" t="inlineStr">
        <is>
          <t>2265106740002656</t>
        </is>
      </c>
      <c r="AZ834" t="inlineStr">
        <is>
          <t>BOOK</t>
        </is>
      </c>
      <c r="BB834" t="inlineStr">
        <is>
          <t>9780306430664</t>
        </is>
      </c>
      <c r="BC834" t="inlineStr">
        <is>
          <t>32285001148575</t>
        </is>
      </c>
      <c r="BD834" t="inlineStr">
        <is>
          <t>893528924</t>
        </is>
      </c>
    </row>
    <row r="835">
      <c r="A835" t="inlineStr">
        <is>
          <t>No</t>
        </is>
      </c>
      <c r="B835" t="inlineStr">
        <is>
          <t>QD39.3.M3 Y68 2001</t>
        </is>
      </c>
      <c r="C835" t="inlineStr">
        <is>
          <t>0                      QD 0039300M  3                  Y  68          2001</t>
        </is>
      </c>
      <c r="D835" t="inlineStr">
        <is>
          <t>Computational chemistry : a practical guide for applying techniques to real-world problems / David C. Young.</t>
        </is>
      </c>
      <c r="F835" t="inlineStr">
        <is>
          <t>No</t>
        </is>
      </c>
      <c r="G835" t="inlineStr">
        <is>
          <t>1</t>
        </is>
      </c>
      <c r="H835" t="inlineStr">
        <is>
          <t>No</t>
        </is>
      </c>
      <c r="I835" t="inlineStr">
        <is>
          <t>No</t>
        </is>
      </c>
      <c r="J835" t="inlineStr">
        <is>
          <t>0</t>
        </is>
      </c>
      <c r="K835" t="inlineStr">
        <is>
          <t>Young, David C., 1964-</t>
        </is>
      </c>
      <c r="L835" t="inlineStr">
        <is>
          <t>New York : Wiley, c2001.</t>
        </is>
      </c>
      <c r="M835" t="inlineStr">
        <is>
          <t>2001</t>
        </is>
      </c>
      <c r="O835" t="inlineStr">
        <is>
          <t>eng</t>
        </is>
      </c>
      <c r="P835" t="inlineStr">
        <is>
          <t>nyu</t>
        </is>
      </c>
      <c r="R835" t="inlineStr">
        <is>
          <t xml:space="preserve">QD </t>
        </is>
      </c>
      <c r="S835" t="n">
        <v>1</v>
      </c>
      <c r="T835" t="n">
        <v>1</v>
      </c>
      <c r="U835" t="inlineStr">
        <is>
          <t>2002-04-22</t>
        </is>
      </c>
      <c r="V835" t="inlineStr">
        <is>
          <t>2002-04-22</t>
        </is>
      </c>
      <c r="W835" t="inlineStr">
        <is>
          <t>2002-04-11</t>
        </is>
      </c>
      <c r="X835" t="inlineStr">
        <is>
          <t>2002-04-11</t>
        </is>
      </c>
      <c r="Y835" t="n">
        <v>572</v>
      </c>
      <c r="Z835" t="n">
        <v>432</v>
      </c>
      <c r="AA835" t="n">
        <v>594</v>
      </c>
      <c r="AB835" t="n">
        <v>5</v>
      </c>
      <c r="AC835" t="n">
        <v>5</v>
      </c>
      <c r="AD835" t="n">
        <v>20</v>
      </c>
      <c r="AE835" t="n">
        <v>20</v>
      </c>
      <c r="AF835" t="n">
        <v>5</v>
      </c>
      <c r="AG835" t="n">
        <v>5</v>
      </c>
      <c r="AH835" t="n">
        <v>5</v>
      </c>
      <c r="AI835" t="n">
        <v>5</v>
      </c>
      <c r="AJ835" t="n">
        <v>9</v>
      </c>
      <c r="AK835" t="n">
        <v>9</v>
      </c>
      <c r="AL835" t="n">
        <v>4</v>
      </c>
      <c r="AM835" t="n">
        <v>4</v>
      </c>
      <c r="AN835" t="n">
        <v>0</v>
      </c>
      <c r="AO835" t="n">
        <v>0</v>
      </c>
      <c r="AP835" t="inlineStr">
        <is>
          <t>No</t>
        </is>
      </c>
      <c r="AQ835" t="inlineStr">
        <is>
          <t>No</t>
        </is>
      </c>
      <c r="AS835">
        <f>HYPERLINK("https://creighton-primo.hosted.exlibrisgroup.com/primo-explore/search?tab=default_tab&amp;search_scope=EVERYTHING&amp;vid=01CRU&amp;lang=en_US&amp;offset=0&amp;query=any,contains,991003751389702656","Catalog Record")</f>
        <v/>
      </c>
      <c r="AT835">
        <f>HYPERLINK("http://www.worldcat.org/oclc/44818433","WorldCat Record")</f>
        <v/>
      </c>
      <c r="AU835" t="inlineStr">
        <is>
          <t>795309206:eng</t>
        </is>
      </c>
      <c r="AV835" t="inlineStr">
        <is>
          <t>44818433</t>
        </is>
      </c>
      <c r="AW835" t="inlineStr">
        <is>
          <t>991003751389702656</t>
        </is>
      </c>
      <c r="AX835" t="inlineStr">
        <is>
          <t>991003751389702656</t>
        </is>
      </c>
      <c r="AY835" t="inlineStr">
        <is>
          <t>2255009450002656</t>
        </is>
      </c>
      <c r="AZ835" t="inlineStr">
        <is>
          <t>BOOK</t>
        </is>
      </c>
      <c r="BB835" t="inlineStr">
        <is>
          <t>9780471333685</t>
        </is>
      </c>
      <c r="BC835" t="inlineStr">
        <is>
          <t>32285004479233</t>
        </is>
      </c>
      <c r="BD835" t="inlineStr">
        <is>
          <t>893535607</t>
        </is>
      </c>
    </row>
    <row r="836">
      <c r="A836" t="inlineStr">
        <is>
          <t>No</t>
        </is>
      </c>
      <c r="B836" t="inlineStr">
        <is>
          <t>QD39.3.S67 B55 2001</t>
        </is>
      </c>
      <c r="C836" t="inlineStr">
        <is>
          <t>0                      QD 0039300S  67                 B  55          2001</t>
        </is>
      </c>
      <c r="D836" t="inlineStr">
        <is>
          <t>Excel for chemists : a comprehensive guide / E. Joseph Billo.</t>
        </is>
      </c>
      <c r="F836" t="inlineStr">
        <is>
          <t>No</t>
        </is>
      </c>
      <c r="G836" t="inlineStr">
        <is>
          <t>1</t>
        </is>
      </c>
      <c r="H836" t="inlineStr">
        <is>
          <t>No</t>
        </is>
      </c>
      <c r="I836" t="inlineStr">
        <is>
          <t>No</t>
        </is>
      </c>
      <c r="J836" t="inlineStr">
        <is>
          <t>0</t>
        </is>
      </c>
      <c r="K836" t="inlineStr">
        <is>
          <t>Billo, E. Joseph.</t>
        </is>
      </c>
      <c r="L836" t="inlineStr">
        <is>
          <t>New York : Wiley-VCH, c2001.</t>
        </is>
      </c>
      <c r="M836" t="inlineStr">
        <is>
          <t>2001</t>
        </is>
      </c>
      <c r="N836" t="inlineStr">
        <is>
          <t>2nd ed.</t>
        </is>
      </c>
      <c r="O836" t="inlineStr">
        <is>
          <t>eng</t>
        </is>
      </c>
      <c r="P836" t="inlineStr">
        <is>
          <t>nyu</t>
        </is>
      </c>
      <c r="R836" t="inlineStr">
        <is>
          <t xml:space="preserve">QD </t>
        </is>
      </c>
      <c r="S836" t="n">
        <v>4</v>
      </c>
      <c r="T836" t="n">
        <v>4</v>
      </c>
      <c r="U836" t="inlineStr">
        <is>
          <t>2007-09-14</t>
        </is>
      </c>
      <c r="V836" t="inlineStr">
        <is>
          <t>2007-09-14</t>
        </is>
      </c>
      <c r="W836" t="inlineStr">
        <is>
          <t>2002-02-15</t>
        </is>
      </c>
      <c r="X836" t="inlineStr">
        <is>
          <t>2002-02-15</t>
        </is>
      </c>
      <c r="Y836" t="n">
        <v>510</v>
      </c>
      <c r="Z836" t="n">
        <v>381</v>
      </c>
      <c r="AA836" t="n">
        <v>998</v>
      </c>
      <c r="AB836" t="n">
        <v>1</v>
      </c>
      <c r="AC836" t="n">
        <v>8</v>
      </c>
      <c r="AD836" t="n">
        <v>23</v>
      </c>
      <c r="AE836" t="n">
        <v>42</v>
      </c>
      <c r="AF836" t="n">
        <v>11</v>
      </c>
      <c r="AG836" t="n">
        <v>16</v>
      </c>
      <c r="AH836" t="n">
        <v>5</v>
      </c>
      <c r="AI836" t="n">
        <v>9</v>
      </c>
      <c r="AJ836" t="n">
        <v>13</v>
      </c>
      <c r="AK836" t="n">
        <v>18</v>
      </c>
      <c r="AL836" t="n">
        <v>0</v>
      </c>
      <c r="AM836" t="n">
        <v>7</v>
      </c>
      <c r="AN836" t="n">
        <v>0</v>
      </c>
      <c r="AO836" t="n">
        <v>1</v>
      </c>
      <c r="AP836" t="inlineStr">
        <is>
          <t>No</t>
        </is>
      </c>
      <c r="AQ836" t="inlineStr">
        <is>
          <t>No</t>
        </is>
      </c>
      <c r="AS836">
        <f>HYPERLINK("https://creighton-primo.hosted.exlibrisgroup.com/primo-explore/search?tab=default_tab&amp;search_scope=EVERYTHING&amp;vid=01CRU&amp;lang=en_US&amp;offset=0&amp;query=any,contains,991003728339702656","Catalog Record")</f>
        <v/>
      </c>
      <c r="AT836">
        <f>HYPERLINK("http://www.worldcat.org/oclc/46240346","WorldCat Record")</f>
        <v/>
      </c>
      <c r="AU836" t="inlineStr">
        <is>
          <t>800573329:eng</t>
        </is>
      </c>
      <c r="AV836" t="inlineStr">
        <is>
          <t>46240346</t>
        </is>
      </c>
      <c r="AW836" t="inlineStr">
        <is>
          <t>991003728339702656</t>
        </is>
      </c>
      <c r="AX836" t="inlineStr">
        <is>
          <t>991003728339702656</t>
        </is>
      </c>
      <c r="AY836" t="inlineStr">
        <is>
          <t>2265440430002656</t>
        </is>
      </c>
      <c r="AZ836" t="inlineStr">
        <is>
          <t>BOOK</t>
        </is>
      </c>
      <c r="BB836" t="inlineStr">
        <is>
          <t>9780471394624</t>
        </is>
      </c>
      <c r="BC836" t="inlineStr">
        <is>
          <t>32285003568200</t>
        </is>
      </c>
      <c r="BD836" t="inlineStr">
        <is>
          <t>893318338</t>
        </is>
      </c>
    </row>
    <row r="837">
      <c r="A837" t="inlineStr">
        <is>
          <t>No</t>
        </is>
      </c>
      <c r="B837" t="inlineStr">
        <is>
          <t>QD39.3.S7 D53 1997</t>
        </is>
      </c>
      <c r="C837" t="inlineStr">
        <is>
          <t>0                      QD 0039300S  7                  D  53          1997</t>
        </is>
      </c>
      <c r="D837" t="inlineStr">
        <is>
          <t>Spreadsheet applications in chemistry using Microsoft Excel / Dermot Diamond, Venita C.A. Hanratty.</t>
        </is>
      </c>
      <c r="F837" t="inlineStr">
        <is>
          <t>No</t>
        </is>
      </c>
      <c r="G837" t="inlineStr">
        <is>
          <t>1</t>
        </is>
      </c>
      <c r="H837" t="inlineStr">
        <is>
          <t>No</t>
        </is>
      </c>
      <c r="I837" t="inlineStr">
        <is>
          <t>No</t>
        </is>
      </c>
      <c r="J837" t="inlineStr">
        <is>
          <t>0</t>
        </is>
      </c>
      <c r="K837" t="inlineStr">
        <is>
          <t>Diamond, Dermot.</t>
        </is>
      </c>
      <c r="L837" t="inlineStr">
        <is>
          <t>New York : Wiley, c1997.</t>
        </is>
      </c>
      <c r="M837" t="inlineStr">
        <is>
          <t>1997</t>
        </is>
      </c>
      <c r="O837" t="inlineStr">
        <is>
          <t>eng</t>
        </is>
      </c>
      <c r="P837" t="inlineStr">
        <is>
          <t>nyu</t>
        </is>
      </c>
      <c r="R837" t="inlineStr">
        <is>
          <t xml:space="preserve">QD </t>
        </is>
      </c>
      <c r="S837" t="n">
        <v>7</v>
      </c>
      <c r="T837" t="n">
        <v>7</v>
      </c>
      <c r="U837" t="inlineStr">
        <is>
          <t>2006-09-26</t>
        </is>
      </c>
      <c r="V837" t="inlineStr">
        <is>
          <t>2006-09-26</t>
        </is>
      </c>
      <c r="W837" t="inlineStr">
        <is>
          <t>1997-06-19</t>
        </is>
      </c>
      <c r="X837" t="inlineStr">
        <is>
          <t>1997-06-19</t>
        </is>
      </c>
      <c r="Y837" t="n">
        <v>296</v>
      </c>
      <c r="Z837" t="n">
        <v>218</v>
      </c>
      <c r="AA837" t="n">
        <v>226</v>
      </c>
      <c r="AB837" t="n">
        <v>3</v>
      </c>
      <c r="AC837" t="n">
        <v>3</v>
      </c>
      <c r="AD837" t="n">
        <v>12</v>
      </c>
      <c r="AE837" t="n">
        <v>12</v>
      </c>
      <c r="AF837" t="n">
        <v>4</v>
      </c>
      <c r="AG837" t="n">
        <v>4</v>
      </c>
      <c r="AH837" t="n">
        <v>1</v>
      </c>
      <c r="AI837" t="n">
        <v>1</v>
      </c>
      <c r="AJ837" t="n">
        <v>7</v>
      </c>
      <c r="AK837" t="n">
        <v>7</v>
      </c>
      <c r="AL837" t="n">
        <v>2</v>
      </c>
      <c r="AM837" t="n">
        <v>2</v>
      </c>
      <c r="AN837" t="n">
        <v>0</v>
      </c>
      <c r="AO837" t="n">
        <v>0</v>
      </c>
      <c r="AP837" t="inlineStr">
        <is>
          <t>No</t>
        </is>
      </c>
      <c r="AQ837" t="inlineStr">
        <is>
          <t>No</t>
        </is>
      </c>
      <c r="AS837">
        <f>HYPERLINK("https://creighton-primo.hosted.exlibrisgroup.com/primo-explore/search?tab=default_tab&amp;search_scope=EVERYTHING&amp;vid=01CRU&amp;lang=en_US&amp;offset=0&amp;query=any,contains,991004621559702656","Catalog Record")</f>
        <v/>
      </c>
      <c r="AT837">
        <f>HYPERLINK("http://www.worldcat.org/oclc/34958784","WorldCat Record")</f>
        <v/>
      </c>
      <c r="AU837" t="inlineStr">
        <is>
          <t>23742781:eng</t>
        </is>
      </c>
      <c r="AV837" t="inlineStr">
        <is>
          <t>34958784</t>
        </is>
      </c>
      <c r="AW837" t="inlineStr">
        <is>
          <t>991004621559702656</t>
        </is>
      </c>
      <c r="AX837" t="inlineStr">
        <is>
          <t>991004621559702656</t>
        </is>
      </c>
      <c r="AY837" t="inlineStr">
        <is>
          <t>2256753000002656</t>
        </is>
      </c>
      <c r="AZ837" t="inlineStr">
        <is>
          <t>BOOK</t>
        </is>
      </c>
      <c r="BB837" t="inlineStr">
        <is>
          <t>9780471140870</t>
        </is>
      </c>
      <c r="BC837" t="inlineStr">
        <is>
          <t>32285002472024</t>
        </is>
      </c>
      <c r="BD837" t="inlineStr">
        <is>
          <t>893417824</t>
        </is>
      </c>
    </row>
    <row r="838">
      <c r="A838" t="inlineStr">
        <is>
          <t>No</t>
        </is>
      </c>
      <c r="B838" t="inlineStr">
        <is>
          <t>QD39.7 .E47 2007</t>
        </is>
      </c>
      <c r="C838" t="inlineStr">
        <is>
          <t>0                      QD 0039700E  47          2007</t>
        </is>
      </c>
      <c r="D838" t="inlineStr">
        <is>
          <t>Better looking, better living, better loving : how chemistry can help you achieve life's goals / John Emsley.</t>
        </is>
      </c>
      <c r="F838" t="inlineStr">
        <is>
          <t>No</t>
        </is>
      </c>
      <c r="G838" t="inlineStr">
        <is>
          <t>1</t>
        </is>
      </c>
      <c r="H838" t="inlineStr">
        <is>
          <t>No</t>
        </is>
      </c>
      <c r="I838" t="inlineStr">
        <is>
          <t>No</t>
        </is>
      </c>
      <c r="J838" t="inlineStr">
        <is>
          <t>0</t>
        </is>
      </c>
      <c r="K838" t="inlineStr">
        <is>
          <t>Emsley, John.</t>
        </is>
      </c>
      <c r="L838" t="inlineStr">
        <is>
          <t>Weinheim : Wiley-VCH, c2007.</t>
        </is>
      </c>
      <c r="M838" t="inlineStr">
        <is>
          <t>2007</t>
        </is>
      </c>
      <c r="O838" t="inlineStr">
        <is>
          <t>eng</t>
        </is>
      </c>
      <c r="P838" t="inlineStr">
        <is>
          <t xml:space="preserve">gw </t>
        </is>
      </c>
      <c r="R838" t="inlineStr">
        <is>
          <t xml:space="preserve">QD </t>
        </is>
      </c>
      <c r="S838" t="n">
        <v>5</v>
      </c>
      <c r="T838" t="n">
        <v>5</v>
      </c>
      <c r="U838" t="inlineStr">
        <is>
          <t>2009-02-27</t>
        </is>
      </c>
      <c r="V838" t="inlineStr">
        <is>
          <t>2009-02-27</t>
        </is>
      </c>
      <c r="W838" t="inlineStr">
        <is>
          <t>2008-04-21</t>
        </is>
      </c>
      <c r="X838" t="inlineStr">
        <is>
          <t>2008-04-21</t>
        </is>
      </c>
      <c r="Y838" t="n">
        <v>373</v>
      </c>
      <c r="Z838" t="n">
        <v>318</v>
      </c>
      <c r="AA838" t="n">
        <v>382</v>
      </c>
      <c r="AB838" t="n">
        <v>5</v>
      </c>
      <c r="AC838" t="n">
        <v>6</v>
      </c>
      <c r="AD838" t="n">
        <v>11</v>
      </c>
      <c r="AE838" t="n">
        <v>12</v>
      </c>
      <c r="AF838" t="n">
        <v>3</v>
      </c>
      <c r="AG838" t="n">
        <v>3</v>
      </c>
      <c r="AH838" t="n">
        <v>2</v>
      </c>
      <c r="AI838" t="n">
        <v>2</v>
      </c>
      <c r="AJ838" t="n">
        <v>4</v>
      </c>
      <c r="AK838" t="n">
        <v>4</v>
      </c>
      <c r="AL838" t="n">
        <v>4</v>
      </c>
      <c r="AM838" t="n">
        <v>5</v>
      </c>
      <c r="AN838" t="n">
        <v>0</v>
      </c>
      <c r="AO838" t="n">
        <v>0</v>
      </c>
      <c r="AP838" t="inlineStr">
        <is>
          <t>No</t>
        </is>
      </c>
      <c r="AQ838" t="inlineStr">
        <is>
          <t>Yes</t>
        </is>
      </c>
      <c r="AR838">
        <f>HYPERLINK("http://catalog.hathitrust.org/Record/005581328","HathiTrust Record")</f>
        <v/>
      </c>
      <c r="AS838">
        <f>HYPERLINK("https://creighton-primo.hosted.exlibrisgroup.com/primo-explore/search?tab=default_tab&amp;search_scope=EVERYTHING&amp;vid=01CRU&amp;lang=en_US&amp;offset=0&amp;query=any,contains,991005200859702656","Catalog Record")</f>
        <v/>
      </c>
      <c r="AT838">
        <f>HYPERLINK("http://www.worldcat.org/oclc/82672520","WorldCat Record")</f>
        <v/>
      </c>
      <c r="AU838" t="inlineStr">
        <is>
          <t>796030233:eng</t>
        </is>
      </c>
      <c r="AV838" t="inlineStr">
        <is>
          <t>82672520</t>
        </is>
      </c>
      <c r="AW838" t="inlineStr">
        <is>
          <t>991005200859702656</t>
        </is>
      </c>
      <c r="AX838" t="inlineStr">
        <is>
          <t>991005200859702656</t>
        </is>
      </c>
      <c r="AY838" t="inlineStr">
        <is>
          <t>2272264820002656</t>
        </is>
      </c>
      <c r="AZ838" t="inlineStr">
        <is>
          <t>BOOK</t>
        </is>
      </c>
      <c r="BB838" t="inlineStr">
        <is>
          <t>9783527318636</t>
        </is>
      </c>
      <c r="BC838" t="inlineStr">
        <is>
          <t>32285005403794</t>
        </is>
      </c>
      <c r="BD838" t="inlineStr">
        <is>
          <t>893600803</t>
        </is>
      </c>
    </row>
    <row r="839">
      <c r="A839" t="inlineStr">
        <is>
          <t>No</t>
        </is>
      </c>
      <c r="B839" t="inlineStr">
        <is>
          <t>QD40 .B73 1988</t>
        </is>
      </c>
      <c r="C839" t="inlineStr">
        <is>
          <t>0                      QD 0040000B  73          1988</t>
        </is>
      </c>
      <c r="D839" t="inlineStr">
        <is>
          <t>They ask for bread : an essay on the teaching of chemistry to young people / John Bradley.</t>
        </is>
      </c>
      <c r="F839" t="inlineStr">
        <is>
          <t>No</t>
        </is>
      </c>
      <c r="G839" t="inlineStr">
        <is>
          <t>1</t>
        </is>
      </c>
      <c r="H839" t="inlineStr">
        <is>
          <t>No</t>
        </is>
      </c>
      <c r="I839" t="inlineStr">
        <is>
          <t>No</t>
        </is>
      </c>
      <c r="J839" t="inlineStr">
        <is>
          <t>0</t>
        </is>
      </c>
      <c r="K839" t="inlineStr">
        <is>
          <t>Bradley, John.</t>
        </is>
      </c>
      <c r="L839" t="inlineStr">
        <is>
          <t>North Ferriby, North Humberside : J. Bradley, 1988.</t>
        </is>
      </c>
      <c r="M839" t="inlineStr">
        <is>
          <t>1988</t>
        </is>
      </c>
      <c r="O839" t="inlineStr">
        <is>
          <t>eng</t>
        </is>
      </c>
      <c r="P839" t="inlineStr">
        <is>
          <t>enk</t>
        </is>
      </c>
      <c r="R839" t="inlineStr">
        <is>
          <t xml:space="preserve">QD </t>
        </is>
      </c>
      <c r="S839" t="n">
        <v>2</v>
      </c>
      <c r="T839" t="n">
        <v>2</v>
      </c>
      <c r="U839" t="inlineStr">
        <is>
          <t>2006-12-03</t>
        </is>
      </c>
      <c r="V839" t="inlineStr">
        <is>
          <t>2006-12-03</t>
        </is>
      </c>
      <c r="W839" t="inlineStr">
        <is>
          <t>1991-10-01</t>
        </is>
      </c>
      <c r="X839" t="inlineStr">
        <is>
          <t>1991-10-01</t>
        </is>
      </c>
      <c r="Y839" t="n">
        <v>24</v>
      </c>
      <c r="Z839" t="n">
        <v>5</v>
      </c>
      <c r="AA839" t="n">
        <v>6</v>
      </c>
      <c r="AB839" t="n">
        <v>1</v>
      </c>
      <c r="AC839" t="n">
        <v>1</v>
      </c>
      <c r="AD839" t="n">
        <v>0</v>
      </c>
      <c r="AE839" t="n">
        <v>0</v>
      </c>
      <c r="AF839" t="n">
        <v>0</v>
      </c>
      <c r="AG839" t="n">
        <v>0</v>
      </c>
      <c r="AH839" t="n">
        <v>0</v>
      </c>
      <c r="AI839" t="n">
        <v>0</v>
      </c>
      <c r="AJ839" t="n">
        <v>0</v>
      </c>
      <c r="AK839" t="n">
        <v>0</v>
      </c>
      <c r="AL839" t="n">
        <v>0</v>
      </c>
      <c r="AM839" t="n">
        <v>0</v>
      </c>
      <c r="AN839" t="n">
        <v>0</v>
      </c>
      <c r="AO839" t="n">
        <v>0</v>
      </c>
      <c r="AP839" t="inlineStr">
        <is>
          <t>No</t>
        </is>
      </c>
      <c r="AQ839" t="inlineStr">
        <is>
          <t>No</t>
        </is>
      </c>
      <c r="AS839">
        <f>HYPERLINK("https://creighton-primo.hosted.exlibrisgroup.com/primo-explore/search?tab=default_tab&amp;search_scope=EVERYTHING&amp;vid=01CRU&amp;lang=en_US&amp;offset=0&amp;query=any,contains,991001376709702656","Catalog Record")</f>
        <v/>
      </c>
      <c r="AT839">
        <f>HYPERLINK("http://www.worldcat.org/oclc/18624741","WorldCat Record")</f>
        <v/>
      </c>
      <c r="AU839" t="inlineStr">
        <is>
          <t>17717924:eng</t>
        </is>
      </c>
      <c r="AV839" t="inlineStr">
        <is>
          <t>18624741</t>
        </is>
      </c>
      <c r="AW839" t="inlineStr">
        <is>
          <t>991001376709702656</t>
        </is>
      </c>
      <c r="AX839" t="inlineStr">
        <is>
          <t>991001376709702656</t>
        </is>
      </c>
      <c r="AY839" t="inlineStr">
        <is>
          <t>2266091010002656</t>
        </is>
      </c>
      <c r="AZ839" t="inlineStr">
        <is>
          <t>BOOK</t>
        </is>
      </c>
      <c r="BB839" t="inlineStr">
        <is>
          <t>9780951389300</t>
        </is>
      </c>
      <c r="BC839" t="inlineStr">
        <is>
          <t>32285000770429</t>
        </is>
      </c>
      <c r="BD839" t="inlineStr">
        <is>
          <t>893897748</t>
        </is>
      </c>
    </row>
    <row r="840">
      <c r="A840" t="inlineStr">
        <is>
          <t>No</t>
        </is>
      </c>
      <c r="B840" t="inlineStr">
        <is>
          <t>QD40 .N88 2008</t>
        </is>
      </c>
      <c r="C840" t="inlineStr">
        <is>
          <t>0                      QD 0040000N  88          2008</t>
        </is>
      </c>
      <c r="D840" t="inlineStr">
        <is>
          <t>Nuts and bolts of chemical education research / Diane M. Bunce, editor, Renèe S. Cole, editor ; sponsored by the ACS Division of Chemical Education, Inc.</t>
        </is>
      </c>
      <c r="F840" t="inlineStr">
        <is>
          <t>No</t>
        </is>
      </c>
      <c r="G840" t="inlineStr">
        <is>
          <t>1</t>
        </is>
      </c>
      <c r="H840" t="inlineStr">
        <is>
          <t>No</t>
        </is>
      </c>
      <c r="I840" t="inlineStr">
        <is>
          <t>No</t>
        </is>
      </c>
      <c r="J840" t="inlineStr">
        <is>
          <t>0</t>
        </is>
      </c>
      <c r="L840" t="inlineStr">
        <is>
          <t>Washington, DC : American Chemical Society : Distributed by Oxford University Press, c2008.</t>
        </is>
      </c>
      <c r="M840" t="inlineStr">
        <is>
          <t>2008</t>
        </is>
      </c>
      <c r="O840" t="inlineStr">
        <is>
          <t>eng</t>
        </is>
      </c>
      <c r="P840" t="inlineStr">
        <is>
          <t>dcu</t>
        </is>
      </c>
      <c r="Q840" t="inlineStr">
        <is>
          <t>ACS symposium series ; 976</t>
        </is>
      </c>
      <c r="R840" t="inlineStr">
        <is>
          <t xml:space="preserve">QD </t>
        </is>
      </c>
      <c r="S840" t="n">
        <v>1</v>
      </c>
      <c r="T840" t="n">
        <v>1</v>
      </c>
      <c r="U840" t="inlineStr">
        <is>
          <t>2009-01-20</t>
        </is>
      </c>
      <c r="V840" t="inlineStr">
        <is>
          <t>2009-01-20</t>
        </is>
      </c>
      <c r="W840" t="inlineStr">
        <is>
          <t>2009-01-20</t>
        </is>
      </c>
      <c r="X840" t="inlineStr">
        <is>
          <t>2009-01-20</t>
        </is>
      </c>
      <c r="Y840" t="n">
        <v>399</v>
      </c>
      <c r="Z840" t="n">
        <v>331</v>
      </c>
      <c r="AA840" t="n">
        <v>375</v>
      </c>
      <c r="AB840" t="n">
        <v>5</v>
      </c>
      <c r="AC840" t="n">
        <v>5</v>
      </c>
      <c r="AD840" t="n">
        <v>22</v>
      </c>
      <c r="AE840" t="n">
        <v>23</v>
      </c>
      <c r="AF840" t="n">
        <v>9</v>
      </c>
      <c r="AG840" t="n">
        <v>10</v>
      </c>
      <c r="AH840" t="n">
        <v>3</v>
      </c>
      <c r="AI840" t="n">
        <v>3</v>
      </c>
      <c r="AJ840" t="n">
        <v>10</v>
      </c>
      <c r="AK840" t="n">
        <v>10</v>
      </c>
      <c r="AL840" t="n">
        <v>4</v>
      </c>
      <c r="AM840" t="n">
        <v>4</v>
      </c>
      <c r="AN840" t="n">
        <v>0</v>
      </c>
      <c r="AO840" t="n">
        <v>0</v>
      </c>
      <c r="AP840" t="inlineStr">
        <is>
          <t>No</t>
        </is>
      </c>
      <c r="AQ840" t="inlineStr">
        <is>
          <t>Yes</t>
        </is>
      </c>
      <c r="AR840">
        <f>HYPERLINK("http://catalog.hathitrust.org/Record/005659121","HathiTrust Record")</f>
        <v/>
      </c>
      <c r="AS840">
        <f>HYPERLINK("https://creighton-primo.hosted.exlibrisgroup.com/primo-explore/search?tab=default_tab&amp;search_scope=EVERYTHING&amp;vid=01CRU&amp;lang=en_US&amp;offset=0&amp;query=any,contains,991005289029702656","Catalog Record")</f>
        <v/>
      </c>
      <c r="AT840">
        <f>HYPERLINK("http://www.worldcat.org/oclc/147989142","WorldCat Record")</f>
        <v/>
      </c>
      <c r="AU840" t="inlineStr">
        <is>
          <t>364063747:eng</t>
        </is>
      </c>
      <c r="AV840" t="inlineStr">
        <is>
          <t>147989142</t>
        </is>
      </c>
      <c r="AW840" t="inlineStr">
        <is>
          <t>991005289029702656</t>
        </is>
      </c>
      <c r="AX840" t="inlineStr">
        <is>
          <t>991005289029702656</t>
        </is>
      </c>
      <c r="AY840" t="inlineStr">
        <is>
          <t>2257219820002656</t>
        </is>
      </c>
      <c r="AZ840" t="inlineStr">
        <is>
          <t>BOOK</t>
        </is>
      </c>
      <c r="BB840" t="inlineStr">
        <is>
          <t>9780841269514</t>
        </is>
      </c>
      <c r="BC840" t="inlineStr">
        <is>
          <t>32285005479745</t>
        </is>
      </c>
      <c r="BD840" t="inlineStr">
        <is>
          <t>893320388</t>
        </is>
      </c>
    </row>
    <row r="841">
      <c r="A841" t="inlineStr">
        <is>
          <t>No</t>
        </is>
      </c>
      <c r="B841" t="inlineStr">
        <is>
          <t>QD400 .G55 1992</t>
        </is>
      </c>
      <c r="C841" t="inlineStr">
        <is>
          <t>0                      QD 0400000G  55          1992</t>
        </is>
      </c>
      <c r="D841" t="inlineStr">
        <is>
          <t>Heterocyclic chemistry / T.L. Gilchrist.</t>
        </is>
      </c>
      <c r="F841" t="inlineStr">
        <is>
          <t>No</t>
        </is>
      </c>
      <c r="G841" t="inlineStr">
        <is>
          <t>1</t>
        </is>
      </c>
      <c r="H841" t="inlineStr">
        <is>
          <t>No</t>
        </is>
      </c>
      <c r="I841" t="inlineStr">
        <is>
          <t>No</t>
        </is>
      </c>
      <c r="J841" t="inlineStr">
        <is>
          <t>0</t>
        </is>
      </c>
      <c r="K841" t="inlineStr">
        <is>
          <t>Gilchrist, T. L. (Thomas Lonsdale)</t>
        </is>
      </c>
      <c r="L841" t="inlineStr">
        <is>
          <t>Harlow, Essex, England : Longman Scientific &amp; Technical ; New York : Wiley, 1992.</t>
        </is>
      </c>
      <c r="M841" t="inlineStr">
        <is>
          <t>1992</t>
        </is>
      </c>
      <c r="N841" t="inlineStr">
        <is>
          <t>2nd ed.</t>
        </is>
      </c>
      <c r="O841" t="inlineStr">
        <is>
          <t>eng</t>
        </is>
      </c>
      <c r="P841" t="inlineStr">
        <is>
          <t>enk</t>
        </is>
      </c>
      <c r="R841" t="inlineStr">
        <is>
          <t xml:space="preserve">QD </t>
        </is>
      </c>
      <c r="S841" t="n">
        <v>14</v>
      </c>
      <c r="T841" t="n">
        <v>14</v>
      </c>
      <c r="U841" t="inlineStr">
        <is>
          <t>2000-07-11</t>
        </is>
      </c>
      <c r="V841" t="inlineStr">
        <is>
          <t>2000-07-11</t>
        </is>
      </c>
      <c r="W841" t="inlineStr">
        <is>
          <t>1993-11-22</t>
        </is>
      </c>
      <c r="X841" t="inlineStr">
        <is>
          <t>1993-11-22</t>
        </is>
      </c>
      <c r="Y841" t="n">
        <v>294</v>
      </c>
      <c r="Z841" t="n">
        <v>171</v>
      </c>
      <c r="AA841" t="n">
        <v>435</v>
      </c>
      <c r="AB841" t="n">
        <v>2</v>
      </c>
      <c r="AC841" t="n">
        <v>3</v>
      </c>
      <c r="AD841" t="n">
        <v>11</v>
      </c>
      <c r="AE841" t="n">
        <v>23</v>
      </c>
      <c r="AF841" t="n">
        <v>3</v>
      </c>
      <c r="AG841" t="n">
        <v>8</v>
      </c>
      <c r="AH841" t="n">
        <v>4</v>
      </c>
      <c r="AI841" t="n">
        <v>6</v>
      </c>
      <c r="AJ841" t="n">
        <v>9</v>
      </c>
      <c r="AK841" t="n">
        <v>15</v>
      </c>
      <c r="AL841" t="n">
        <v>1</v>
      </c>
      <c r="AM841" t="n">
        <v>2</v>
      </c>
      <c r="AN841" t="n">
        <v>0</v>
      </c>
      <c r="AO841" t="n">
        <v>0</v>
      </c>
      <c r="AP841" t="inlineStr">
        <is>
          <t>No</t>
        </is>
      </c>
      <c r="AQ841" t="inlineStr">
        <is>
          <t>Yes</t>
        </is>
      </c>
      <c r="AR841">
        <f>HYPERLINK("http://catalog.hathitrust.org/Record/002555937","HathiTrust Record")</f>
        <v/>
      </c>
      <c r="AS841">
        <f>HYPERLINK("https://creighton-primo.hosted.exlibrisgroup.com/primo-explore/search?tab=default_tab&amp;search_scope=EVERYTHING&amp;vid=01CRU&amp;lang=en_US&amp;offset=0&amp;query=any,contains,991001904759702656","Catalog Record")</f>
        <v/>
      </c>
      <c r="AT841">
        <f>HYPERLINK("http://www.worldcat.org/oclc/24066788","WorldCat Record")</f>
        <v/>
      </c>
      <c r="AU841" t="inlineStr">
        <is>
          <t>3900997528:eng</t>
        </is>
      </c>
      <c r="AV841" t="inlineStr">
        <is>
          <t>24066788</t>
        </is>
      </c>
      <c r="AW841" t="inlineStr">
        <is>
          <t>991001904759702656</t>
        </is>
      </c>
      <c r="AX841" t="inlineStr">
        <is>
          <t>991001904759702656</t>
        </is>
      </c>
      <c r="AY841" t="inlineStr">
        <is>
          <t>2262243270002656</t>
        </is>
      </c>
      <c r="AZ841" t="inlineStr">
        <is>
          <t>BOOK</t>
        </is>
      </c>
      <c r="BB841" t="inlineStr">
        <is>
          <t>9780582064201</t>
        </is>
      </c>
      <c r="BC841" t="inlineStr">
        <is>
          <t>32285001811701</t>
        </is>
      </c>
      <c r="BD841" t="inlineStr">
        <is>
          <t>893879282</t>
        </is>
      </c>
    </row>
    <row r="842">
      <c r="A842" t="inlineStr">
        <is>
          <t>No</t>
        </is>
      </c>
      <c r="B842" t="inlineStr">
        <is>
          <t>QD400 .H3 1967</t>
        </is>
      </c>
      <c r="C842" t="inlineStr">
        <is>
          <t>0                      QD 0400000H  3           1967</t>
        </is>
      </c>
      <c r="D842" t="inlineStr">
        <is>
          <t>1, 4-cycloaddition reactions : the Diels-Alder reaction in heterocyclic syntheses / edited by Jan Hamer.</t>
        </is>
      </c>
      <c r="F842" t="inlineStr">
        <is>
          <t>No</t>
        </is>
      </c>
      <c r="G842" t="inlineStr">
        <is>
          <t>1</t>
        </is>
      </c>
      <c r="H842" t="inlineStr">
        <is>
          <t>No</t>
        </is>
      </c>
      <c r="I842" t="inlineStr">
        <is>
          <t>No</t>
        </is>
      </c>
      <c r="J842" t="inlineStr">
        <is>
          <t>0</t>
        </is>
      </c>
      <c r="K842" t="inlineStr">
        <is>
          <t>Hamer, Jan.</t>
        </is>
      </c>
      <c r="L842" t="inlineStr">
        <is>
          <t>New York : Academic Press, 1967.</t>
        </is>
      </c>
      <c r="M842" t="inlineStr">
        <is>
          <t>1967</t>
        </is>
      </c>
      <c r="O842" t="inlineStr">
        <is>
          <t>eng</t>
        </is>
      </c>
      <c r="P842" t="inlineStr">
        <is>
          <t>nyu</t>
        </is>
      </c>
      <c r="Q842" t="inlineStr">
        <is>
          <t>Organic chemistry; a series of monographs, v. 8</t>
        </is>
      </c>
      <c r="R842" t="inlineStr">
        <is>
          <t xml:space="preserve">QD </t>
        </is>
      </c>
      <c r="S842" t="n">
        <v>3</v>
      </c>
      <c r="T842" t="n">
        <v>3</v>
      </c>
      <c r="U842" t="inlineStr">
        <is>
          <t>2000-03-14</t>
        </is>
      </c>
      <c r="V842" t="inlineStr">
        <is>
          <t>2000-03-14</t>
        </is>
      </c>
      <c r="W842" t="inlineStr">
        <is>
          <t>1995-02-24</t>
        </is>
      </c>
      <c r="X842" t="inlineStr">
        <is>
          <t>1995-02-24</t>
        </is>
      </c>
      <c r="Y842" t="n">
        <v>481</v>
      </c>
      <c r="Z842" t="n">
        <v>364</v>
      </c>
      <c r="AA842" t="n">
        <v>393</v>
      </c>
      <c r="AB842" t="n">
        <v>2</v>
      </c>
      <c r="AC842" t="n">
        <v>2</v>
      </c>
      <c r="AD842" t="n">
        <v>20</v>
      </c>
      <c r="AE842" t="n">
        <v>21</v>
      </c>
      <c r="AF842" t="n">
        <v>7</v>
      </c>
      <c r="AG842" t="n">
        <v>8</v>
      </c>
      <c r="AH842" t="n">
        <v>5</v>
      </c>
      <c r="AI842" t="n">
        <v>5</v>
      </c>
      <c r="AJ842" t="n">
        <v>11</v>
      </c>
      <c r="AK842" t="n">
        <v>11</v>
      </c>
      <c r="AL842" t="n">
        <v>1</v>
      </c>
      <c r="AM842" t="n">
        <v>1</v>
      </c>
      <c r="AN842" t="n">
        <v>0</v>
      </c>
      <c r="AO842" t="n">
        <v>0</v>
      </c>
      <c r="AP842" t="inlineStr">
        <is>
          <t>No</t>
        </is>
      </c>
      <c r="AQ842" t="inlineStr">
        <is>
          <t>Yes</t>
        </is>
      </c>
      <c r="AR842">
        <f>HYPERLINK("http://catalog.hathitrust.org/Record/001113824","HathiTrust Record")</f>
        <v/>
      </c>
      <c r="AS842">
        <f>HYPERLINK("https://creighton-primo.hosted.exlibrisgroup.com/primo-explore/search?tab=default_tab&amp;search_scope=EVERYTHING&amp;vid=01CRU&amp;lang=en_US&amp;offset=0&amp;query=any,contains,991002961719702656","Catalog Record")</f>
        <v/>
      </c>
      <c r="AT842">
        <f>HYPERLINK("http://www.worldcat.org/oclc/544150","WorldCat Record")</f>
        <v/>
      </c>
      <c r="AU842" t="inlineStr">
        <is>
          <t>819735805:eng</t>
        </is>
      </c>
      <c r="AV842" t="inlineStr">
        <is>
          <t>544150</t>
        </is>
      </c>
      <c r="AW842" t="inlineStr">
        <is>
          <t>991002961719702656</t>
        </is>
      </c>
      <c r="AX842" t="inlineStr">
        <is>
          <t>991002961719702656</t>
        </is>
      </c>
      <c r="AY842" t="inlineStr">
        <is>
          <t>2268083320002656</t>
        </is>
      </c>
      <c r="AZ842" t="inlineStr">
        <is>
          <t>BOOK</t>
        </is>
      </c>
      <c r="BC842" t="inlineStr">
        <is>
          <t>32285002010352</t>
        </is>
      </c>
      <c r="BD842" t="inlineStr">
        <is>
          <t>893530698</t>
        </is>
      </c>
    </row>
    <row r="843">
      <c r="A843" t="inlineStr">
        <is>
          <t>No</t>
        </is>
      </c>
      <c r="B843" t="inlineStr">
        <is>
          <t>QD400 .S25 2002</t>
        </is>
      </c>
      <c r="C843" t="inlineStr">
        <is>
          <t>0                      QD 0400000S  25          2002</t>
        </is>
      </c>
      <c r="D843" t="inlineStr">
        <is>
          <t>Heterocyclic chemistry / M. Sainsbury.</t>
        </is>
      </c>
      <c r="F843" t="inlineStr">
        <is>
          <t>No</t>
        </is>
      </c>
      <c r="G843" t="inlineStr">
        <is>
          <t>1</t>
        </is>
      </c>
      <c r="H843" t="inlineStr">
        <is>
          <t>No</t>
        </is>
      </c>
      <c r="I843" t="inlineStr">
        <is>
          <t>No</t>
        </is>
      </c>
      <c r="J843" t="inlineStr">
        <is>
          <t>0</t>
        </is>
      </c>
      <c r="K843" t="inlineStr">
        <is>
          <t>Sainsbury, Malcolm.</t>
        </is>
      </c>
      <c r="L843" t="inlineStr">
        <is>
          <t>New York : Wiley-Interscience ; [Cambridge, UK] : Royal Society of Chemistry, c2002.</t>
        </is>
      </c>
      <c r="M843" t="inlineStr">
        <is>
          <t>2002</t>
        </is>
      </c>
      <c r="O843" t="inlineStr">
        <is>
          <t>eng</t>
        </is>
      </c>
      <c r="P843" t="inlineStr">
        <is>
          <t>nyu</t>
        </is>
      </c>
      <c r="Q843" t="inlineStr">
        <is>
          <t>Basic concepts in chemistry</t>
        </is>
      </c>
      <c r="R843" t="inlineStr">
        <is>
          <t xml:space="preserve">QD </t>
        </is>
      </c>
      <c r="S843" t="n">
        <v>1</v>
      </c>
      <c r="T843" t="n">
        <v>1</v>
      </c>
      <c r="U843" t="inlineStr">
        <is>
          <t>2003-11-17</t>
        </is>
      </c>
      <c r="V843" t="inlineStr">
        <is>
          <t>2003-11-17</t>
        </is>
      </c>
      <c r="W843" t="inlineStr">
        <is>
          <t>2003-11-17</t>
        </is>
      </c>
      <c r="X843" t="inlineStr">
        <is>
          <t>2003-11-17</t>
        </is>
      </c>
      <c r="Y843" t="n">
        <v>164</v>
      </c>
      <c r="Z843" t="n">
        <v>122</v>
      </c>
      <c r="AA843" t="n">
        <v>198</v>
      </c>
      <c r="AB843" t="n">
        <v>1</v>
      </c>
      <c r="AC843" t="n">
        <v>2</v>
      </c>
      <c r="AD843" t="n">
        <v>4</v>
      </c>
      <c r="AE843" t="n">
        <v>7</v>
      </c>
      <c r="AF843" t="n">
        <v>3</v>
      </c>
      <c r="AG843" t="n">
        <v>3</v>
      </c>
      <c r="AH843" t="n">
        <v>0</v>
      </c>
      <c r="AI843" t="n">
        <v>1</v>
      </c>
      <c r="AJ843" t="n">
        <v>2</v>
      </c>
      <c r="AK843" t="n">
        <v>4</v>
      </c>
      <c r="AL843" t="n">
        <v>0</v>
      </c>
      <c r="AM843" t="n">
        <v>1</v>
      </c>
      <c r="AN843" t="n">
        <v>0</v>
      </c>
      <c r="AO843" t="n">
        <v>0</v>
      </c>
      <c r="AP843" t="inlineStr">
        <is>
          <t>No</t>
        </is>
      </c>
      <c r="AQ843" t="inlineStr">
        <is>
          <t>Yes</t>
        </is>
      </c>
      <c r="AR843">
        <f>HYPERLINK("http://catalog.hathitrust.org/Record/009464530","HathiTrust Record")</f>
        <v/>
      </c>
      <c r="AS843">
        <f>HYPERLINK("https://creighton-primo.hosted.exlibrisgroup.com/primo-explore/search?tab=default_tab&amp;search_scope=EVERYTHING&amp;vid=01CRU&amp;lang=en_US&amp;offset=0&amp;query=any,contains,991004183149702656","Catalog Record")</f>
        <v/>
      </c>
      <c r="AT843">
        <f>HYPERLINK("http://www.worldcat.org/oclc/50920912","WorldCat Record")</f>
        <v/>
      </c>
      <c r="AU843" t="inlineStr">
        <is>
          <t>3768853847:eng</t>
        </is>
      </c>
      <c r="AV843" t="inlineStr">
        <is>
          <t>50920912</t>
        </is>
      </c>
      <c r="AW843" t="inlineStr">
        <is>
          <t>991004183149702656</t>
        </is>
      </c>
      <c r="AX843" t="inlineStr">
        <is>
          <t>991004183149702656</t>
        </is>
      </c>
      <c r="AY843" t="inlineStr">
        <is>
          <t>2270051640002656</t>
        </is>
      </c>
      <c r="AZ843" t="inlineStr">
        <is>
          <t>BOOK</t>
        </is>
      </c>
      <c r="BB843" t="inlineStr">
        <is>
          <t>9780471281641</t>
        </is>
      </c>
      <c r="BC843" t="inlineStr">
        <is>
          <t>32285004798806</t>
        </is>
      </c>
      <c r="BD843" t="inlineStr">
        <is>
          <t>893718592</t>
        </is>
      </c>
    </row>
    <row r="844">
      <c r="A844" t="inlineStr">
        <is>
          <t>No</t>
        </is>
      </c>
      <c r="B844" t="inlineStr">
        <is>
          <t>QD400 .Y68</t>
        </is>
      </c>
      <c r="C844" t="inlineStr">
        <is>
          <t>0                      QD 0400000Y  68</t>
        </is>
      </c>
      <c r="D844" t="inlineStr">
        <is>
          <t>Heterocyclic chemistry / D. W. Young.</t>
        </is>
      </c>
      <c r="F844" t="inlineStr">
        <is>
          <t>No</t>
        </is>
      </c>
      <c r="G844" t="inlineStr">
        <is>
          <t>1</t>
        </is>
      </c>
      <c r="H844" t="inlineStr">
        <is>
          <t>No</t>
        </is>
      </c>
      <c r="I844" t="inlineStr">
        <is>
          <t>No</t>
        </is>
      </c>
      <c r="J844" t="inlineStr">
        <is>
          <t>0</t>
        </is>
      </c>
      <c r="K844" t="inlineStr">
        <is>
          <t>Young, Douglas W.</t>
        </is>
      </c>
      <c r="L844" t="inlineStr">
        <is>
          <t>London ; New York : Longman, 1975.</t>
        </is>
      </c>
      <c r="M844" t="inlineStr">
        <is>
          <t>1975</t>
        </is>
      </c>
      <c r="O844" t="inlineStr">
        <is>
          <t>eng</t>
        </is>
      </c>
      <c r="P844" t="inlineStr">
        <is>
          <t>enk</t>
        </is>
      </c>
      <c r="R844" t="inlineStr">
        <is>
          <t xml:space="preserve">QD </t>
        </is>
      </c>
      <c r="S844" t="n">
        <v>3</v>
      </c>
      <c r="T844" t="n">
        <v>3</v>
      </c>
      <c r="U844" t="inlineStr">
        <is>
          <t>1999-10-06</t>
        </is>
      </c>
      <c r="V844" t="inlineStr">
        <is>
          <t>1999-10-06</t>
        </is>
      </c>
      <c r="W844" t="inlineStr">
        <is>
          <t>1993-02-01</t>
        </is>
      </c>
      <c r="X844" t="inlineStr">
        <is>
          <t>1993-02-01</t>
        </is>
      </c>
      <c r="Y844" t="n">
        <v>263</v>
      </c>
      <c r="Z844" t="n">
        <v>187</v>
      </c>
      <c r="AA844" t="n">
        <v>192</v>
      </c>
      <c r="AB844" t="n">
        <v>3</v>
      </c>
      <c r="AC844" t="n">
        <v>3</v>
      </c>
      <c r="AD844" t="n">
        <v>8</v>
      </c>
      <c r="AE844" t="n">
        <v>8</v>
      </c>
      <c r="AF844" t="n">
        <v>1</v>
      </c>
      <c r="AG844" t="n">
        <v>1</v>
      </c>
      <c r="AH844" t="n">
        <v>2</v>
      </c>
      <c r="AI844" t="n">
        <v>2</v>
      </c>
      <c r="AJ844" t="n">
        <v>4</v>
      </c>
      <c r="AK844" t="n">
        <v>4</v>
      </c>
      <c r="AL844" t="n">
        <v>2</v>
      </c>
      <c r="AM844" t="n">
        <v>2</v>
      </c>
      <c r="AN844" t="n">
        <v>0</v>
      </c>
      <c r="AO844" t="n">
        <v>0</v>
      </c>
      <c r="AP844" t="inlineStr">
        <is>
          <t>No</t>
        </is>
      </c>
      <c r="AQ844" t="inlineStr">
        <is>
          <t>Yes</t>
        </is>
      </c>
      <c r="AR844">
        <f>HYPERLINK("http://catalog.hathitrust.org/Record/009493128","HathiTrust Record")</f>
        <v/>
      </c>
      <c r="AS844">
        <f>HYPERLINK("https://creighton-primo.hosted.exlibrisgroup.com/primo-explore/search?tab=default_tab&amp;search_scope=EVERYTHING&amp;vid=01CRU&amp;lang=en_US&amp;offset=0&amp;query=any,contains,991003692129702656","Catalog Record")</f>
        <v/>
      </c>
      <c r="AT844">
        <f>HYPERLINK("http://www.worldcat.org/oclc/1322998","WorldCat Record")</f>
        <v/>
      </c>
      <c r="AU844" t="inlineStr">
        <is>
          <t>3855444759:eng</t>
        </is>
      </c>
      <c r="AV844" t="inlineStr">
        <is>
          <t>1322998</t>
        </is>
      </c>
      <c r="AW844" t="inlineStr">
        <is>
          <t>991003692129702656</t>
        </is>
      </c>
      <c r="AX844" t="inlineStr">
        <is>
          <t>991003692129702656</t>
        </is>
      </c>
      <c r="AY844" t="inlineStr">
        <is>
          <t>2254867040002656</t>
        </is>
      </c>
      <c r="AZ844" t="inlineStr">
        <is>
          <t>BOOK</t>
        </is>
      </c>
      <c r="BB844" t="inlineStr">
        <is>
          <t>9780582442535</t>
        </is>
      </c>
      <c r="BC844" t="inlineStr">
        <is>
          <t>32285001516367</t>
        </is>
      </c>
      <c r="BD844" t="inlineStr">
        <is>
          <t>893416676</t>
        </is>
      </c>
    </row>
    <row r="845">
      <c r="A845" t="inlineStr">
        <is>
          <t>No</t>
        </is>
      </c>
      <c r="B845" t="inlineStr">
        <is>
          <t>QD401 .B2235 1982</t>
        </is>
      </c>
      <c r="C845" t="inlineStr">
        <is>
          <t>0                      QD 0401000B  2235        1982</t>
        </is>
      </c>
      <c r="D845" t="inlineStr">
        <is>
          <t>The pyrazines / G.B. Barlin.</t>
        </is>
      </c>
      <c r="F845" t="inlineStr">
        <is>
          <t>No</t>
        </is>
      </c>
      <c r="G845" t="inlineStr">
        <is>
          <t>1</t>
        </is>
      </c>
      <c r="H845" t="inlineStr">
        <is>
          <t>No</t>
        </is>
      </c>
      <c r="I845" t="inlineStr">
        <is>
          <t>No</t>
        </is>
      </c>
      <c r="J845" t="inlineStr">
        <is>
          <t>0</t>
        </is>
      </c>
      <c r="K845" t="inlineStr">
        <is>
          <t>Barlin, G. B.</t>
        </is>
      </c>
      <c r="L845" t="inlineStr">
        <is>
          <t>New York : J. Wiley, c1982.</t>
        </is>
      </c>
      <c r="M845" t="inlineStr">
        <is>
          <t>1982</t>
        </is>
      </c>
      <c r="O845" t="inlineStr">
        <is>
          <t>eng</t>
        </is>
      </c>
      <c r="P845" t="inlineStr">
        <is>
          <t>nyu</t>
        </is>
      </c>
      <c r="Q845" t="inlineStr">
        <is>
          <t>The Chemistry of heterocyclic compounds ; v. 41</t>
        </is>
      </c>
      <c r="R845" t="inlineStr">
        <is>
          <t xml:space="preserve">QD </t>
        </is>
      </c>
      <c r="S845" t="n">
        <v>1</v>
      </c>
      <c r="T845" t="n">
        <v>1</v>
      </c>
      <c r="U845" t="inlineStr">
        <is>
          <t>1995-03-16</t>
        </is>
      </c>
      <c r="V845" t="inlineStr">
        <is>
          <t>1995-03-16</t>
        </is>
      </c>
      <c r="W845" t="inlineStr">
        <is>
          <t>1993-02-01</t>
        </is>
      </c>
      <c r="X845" t="inlineStr">
        <is>
          <t>1993-02-01</t>
        </is>
      </c>
      <c r="Y845" t="n">
        <v>272</v>
      </c>
      <c r="Z845" t="n">
        <v>196</v>
      </c>
      <c r="AA845" t="n">
        <v>245</v>
      </c>
      <c r="AB845" t="n">
        <v>2</v>
      </c>
      <c r="AC845" t="n">
        <v>2</v>
      </c>
      <c r="AD845" t="n">
        <v>5</v>
      </c>
      <c r="AE845" t="n">
        <v>6</v>
      </c>
      <c r="AF845" t="n">
        <v>0</v>
      </c>
      <c r="AG845" t="n">
        <v>0</v>
      </c>
      <c r="AH845" t="n">
        <v>1</v>
      </c>
      <c r="AI845" t="n">
        <v>2</v>
      </c>
      <c r="AJ845" t="n">
        <v>4</v>
      </c>
      <c r="AK845" t="n">
        <v>5</v>
      </c>
      <c r="AL845" t="n">
        <v>1</v>
      </c>
      <c r="AM845" t="n">
        <v>1</v>
      </c>
      <c r="AN845" t="n">
        <v>0</v>
      </c>
      <c r="AO845" t="n">
        <v>0</v>
      </c>
      <c r="AP845" t="inlineStr">
        <is>
          <t>No</t>
        </is>
      </c>
      <c r="AQ845" t="inlineStr">
        <is>
          <t>Yes</t>
        </is>
      </c>
      <c r="AR845">
        <f>HYPERLINK("http://catalog.hathitrust.org/Record/000266945","HathiTrust Record")</f>
        <v/>
      </c>
      <c r="AS845">
        <f>HYPERLINK("https://creighton-primo.hosted.exlibrisgroup.com/primo-explore/search?tab=default_tab&amp;search_scope=EVERYTHING&amp;vid=01CRU&amp;lang=en_US&amp;offset=0&amp;query=any,contains,991005123029702656","Catalog Record")</f>
        <v/>
      </c>
      <c r="AT845">
        <f>HYPERLINK("http://www.worldcat.org/oclc/7550675","WorldCat Record")</f>
        <v/>
      </c>
      <c r="AU845" t="inlineStr">
        <is>
          <t>3855307206:eng</t>
        </is>
      </c>
      <c r="AV845" t="inlineStr">
        <is>
          <t>7550675</t>
        </is>
      </c>
      <c r="AW845" t="inlineStr">
        <is>
          <t>991005123029702656</t>
        </is>
      </c>
      <c r="AX845" t="inlineStr">
        <is>
          <t>991005123029702656</t>
        </is>
      </c>
      <c r="AY845" t="inlineStr">
        <is>
          <t>2268804680002656</t>
        </is>
      </c>
      <c r="AZ845" t="inlineStr">
        <is>
          <t>BOOK</t>
        </is>
      </c>
      <c r="BB845" t="inlineStr">
        <is>
          <t>9780471381198</t>
        </is>
      </c>
      <c r="BC845" t="inlineStr">
        <is>
          <t>32285001516375</t>
        </is>
      </c>
      <c r="BD845" t="inlineStr">
        <is>
          <t>893795646</t>
        </is>
      </c>
    </row>
    <row r="846">
      <c r="A846" t="inlineStr">
        <is>
          <t>No</t>
        </is>
      </c>
      <c r="B846" t="inlineStr">
        <is>
          <t>QD410 .E97 1987</t>
        </is>
      </c>
      <c r="C846" t="inlineStr">
        <is>
          <t>0                      QD 0410000E  97          1987</t>
        </is>
      </c>
      <c r="D846" t="inlineStr">
        <is>
          <t>Experimental organometallic chemistry : a practicum in synthesis and characterization / Andrea L. Wayda, editor ; Marcetta Y. Darensbourg, editor ; developed from a symposium sponsored by the Division of Inorganic Chemistry at the 190th meeting of the American Chemical Society, Chicago, Illinois, September 8-13, 1985.</t>
        </is>
      </c>
      <c r="F846" t="inlineStr">
        <is>
          <t>No</t>
        </is>
      </c>
      <c r="G846" t="inlineStr">
        <is>
          <t>1</t>
        </is>
      </c>
      <c r="H846" t="inlineStr">
        <is>
          <t>No</t>
        </is>
      </c>
      <c r="I846" t="inlineStr">
        <is>
          <t>No</t>
        </is>
      </c>
      <c r="J846" t="inlineStr">
        <is>
          <t>0</t>
        </is>
      </c>
      <c r="L846" t="inlineStr">
        <is>
          <t>Washington, D.C. : American Chemical Society, 1987.</t>
        </is>
      </c>
      <c r="M846" t="inlineStr">
        <is>
          <t>1987</t>
        </is>
      </c>
      <c r="O846" t="inlineStr">
        <is>
          <t>eng</t>
        </is>
      </c>
      <c r="P846" t="inlineStr">
        <is>
          <t>dcu</t>
        </is>
      </c>
      <c r="Q846" t="inlineStr">
        <is>
          <t>ACS symposium series, 0097-6156 ; 357</t>
        </is>
      </c>
      <c r="R846" t="inlineStr">
        <is>
          <t xml:space="preserve">QD </t>
        </is>
      </c>
      <c r="S846" t="n">
        <v>1</v>
      </c>
      <c r="T846" t="n">
        <v>1</v>
      </c>
      <c r="U846" t="inlineStr">
        <is>
          <t>1997-05-06</t>
        </is>
      </c>
      <c r="V846" t="inlineStr">
        <is>
          <t>1997-05-06</t>
        </is>
      </c>
      <c r="W846" t="inlineStr">
        <is>
          <t>1993-02-01</t>
        </is>
      </c>
      <c r="X846" t="inlineStr">
        <is>
          <t>1993-02-01</t>
        </is>
      </c>
      <c r="Y846" t="n">
        <v>436</v>
      </c>
      <c r="Z846" t="n">
        <v>326</v>
      </c>
      <c r="AA846" t="n">
        <v>355</v>
      </c>
      <c r="AB846" t="n">
        <v>4</v>
      </c>
      <c r="AC846" t="n">
        <v>4</v>
      </c>
      <c r="AD846" t="n">
        <v>12</v>
      </c>
      <c r="AE846" t="n">
        <v>12</v>
      </c>
      <c r="AF846" t="n">
        <v>1</v>
      </c>
      <c r="AG846" t="n">
        <v>1</v>
      </c>
      <c r="AH846" t="n">
        <v>3</v>
      </c>
      <c r="AI846" t="n">
        <v>3</v>
      </c>
      <c r="AJ846" t="n">
        <v>6</v>
      </c>
      <c r="AK846" t="n">
        <v>6</v>
      </c>
      <c r="AL846" t="n">
        <v>3</v>
      </c>
      <c r="AM846" t="n">
        <v>3</v>
      </c>
      <c r="AN846" t="n">
        <v>0</v>
      </c>
      <c r="AO846" t="n">
        <v>0</v>
      </c>
      <c r="AP846" t="inlineStr">
        <is>
          <t>No</t>
        </is>
      </c>
      <c r="AQ846" t="inlineStr">
        <is>
          <t>Yes</t>
        </is>
      </c>
      <c r="AR846">
        <f>HYPERLINK("http://catalog.hathitrust.org/Record/000866698","HathiTrust Record")</f>
        <v/>
      </c>
      <c r="AS846">
        <f>HYPERLINK("https://creighton-primo.hosted.exlibrisgroup.com/primo-explore/search?tab=default_tab&amp;search_scope=EVERYTHING&amp;vid=01CRU&amp;lang=en_US&amp;offset=0&amp;query=any,contains,991001158599702656","Catalog Record")</f>
        <v/>
      </c>
      <c r="AT846">
        <f>HYPERLINK("http://www.worldcat.org/oclc/16871383","WorldCat Record")</f>
        <v/>
      </c>
      <c r="AU846" t="inlineStr">
        <is>
          <t>865282574:eng</t>
        </is>
      </c>
      <c r="AV846" t="inlineStr">
        <is>
          <t>16871383</t>
        </is>
      </c>
      <c r="AW846" t="inlineStr">
        <is>
          <t>991001158599702656</t>
        </is>
      </c>
      <c r="AX846" t="inlineStr">
        <is>
          <t>991001158599702656</t>
        </is>
      </c>
      <c r="AY846" t="inlineStr">
        <is>
          <t>2263132350002656</t>
        </is>
      </c>
      <c r="AZ846" t="inlineStr">
        <is>
          <t>BOOK</t>
        </is>
      </c>
      <c r="BB846" t="inlineStr">
        <is>
          <t>9780841214385</t>
        </is>
      </c>
      <c r="BC846" t="inlineStr">
        <is>
          <t>32285001516383</t>
        </is>
      </c>
      <c r="BD846" t="inlineStr">
        <is>
          <t>893503145</t>
        </is>
      </c>
    </row>
    <row r="847">
      <c r="A847" t="inlineStr">
        <is>
          <t>No</t>
        </is>
      </c>
      <c r="B847" t="inlineStr">
        <is>
          <t>QD411 .C651 1982</t>
        </is>
      </c>
      <c r="C847" t="inlineStr">
        <is>
          <t>0                      QD 0411000C  651         1982</t>
        </is>
      </c>
      <c r="D847" t="inlineStr">
        <is>
          <t>Comprehensive organometallic chemistry : the synthesis, reactions, and structures of organometallic compounds / editor, Sir Geoffrey Wilkinson; deputy editor, F. Gordon A. Stone; executive editor, Edward W. Abel.</t>
        </is>
      </c>
      <c r="E847" t="inlineStr">
        <is>
          <t>V.1</t>
        </is>
      </c>
      <c r="F847" t="inlineStr">
        <is>
          <t>Yes</t>
        </is>
      </c>
      <c r="G847" t="inlineStr">
        <is>
          <t>1</t>
        </is>
      </c>
      <c r="H847" t="inlineStr">
        <is>
          <t>No</t>
        </is>
      </c>
      <c r="I847" t="inlineStr">
        <is>
          <t>No</t>
        </is>
      </c>
      <c r="J847" t="inlineStr">
        <is>
          <t>0</t>
        </is>
      </c>
      <c r="L847" t="inlineStr">
        <is>
          <t>Oxford [Oxfordshire] ; New York : Pergamon Press, 1982.</t>
        </is>
      </c>
      <c r="M847" t="inlineStr">
        <is>
          <t>1982</t>
        </is>
      </c>
      <c r="N847" t="inlineStr">
        <is>
          <t>1st ed.</t>
        </is>
      </c>
      <c r="O847" t="inlineStr">
        <is>
          <t>eng</t>
        </is>
      </c>
      <c r="P847" t="inlineStr">
        <is>
          <t>enk</t>
        </is>
      </c>
      <c r="R847" t="inlineStr">
        <is>
          <t xml:space="preserve">QD </t>
        </is>
      </c>
      <c r="S847" t="n">
        <v>1</v>
      </c>
      <c r="T847" t="n">
        <v>8</v>
      </c>
      <c r="U847" t="inlineStr">
        <is>
          <t>1994-10-28</t>
        </is>
      </c>
      <c r="V847" t="inlineStr">
        <is>
          <t>2005-04-24</t>
        </is>
      </c>
      <c r="W847" t="inlineStr">
        <is>
          <t>1993-02-01</t>
        </is>
      </c>
      <c r="X847" t="inlineStr">
        <is>
          <t>1993-02-01</t>
        </is>
      </c>
      <c r="Y847" t="n">
        <v>503</v>
      </c>
      <c r="Z847" t="n">
        <v>350</v>
      </c>
      <c r="AA847" t="n">
        <v>361</v>
      </c>
      <c r="AB847" t="n">
        <v>2</v>
      </c>
      <c r="AC847" t="n">
        <v>2</v>
      </c>
      <c r="AD847" t="n">
        <v>16</v>
      </c>
      <c r="AE847" t="n">
        <v>16</v>
      </c>
      <c r="AF847" t="n">
        <v>2</v>
      </c>
      <c r="AG847" t="n">
        <v>2</v>
      </c>
      <c r="AH847" t="n">
        <v>5</v>
      </c>
      <c r="AI847" t="n">
        <v>5</v>
      </c>
      <c r="AJ847" t="n">
        <v>12</v>
      </c>
      <c r="AK847" t="n">
        <v>12</v>
      </c>
      <c r="AL847" t="n">
        <v>1</v>
      </c>
      <c r="AM847" t="n">
        <v>1</v>
      </c>
      <c r="AN847" t="n">
        <v>0</v>
      </c>
      <c r="AO847" t="n">
        <v>0</v>
      </c>
      <c r="AP847" t="inlineStr">
        <is>
          <t>No</t>
        </is>
      </c>
      <c r="AQ847" t="inlineStr">
        <is>
          <t>Yes</t>
        </is>
      </c>
      <c r="AR847">
        <f>HYPERLINK("http://catalog.hathitrust.org/Record/000192626","HathiTrust Record")</f>
        <v/>
      </c>
      <c r="AS847">
        <f>HYPERLINK("https://creighton-primo.hosted.exlibrisgroup.com/primo-explore/search?tab=default_tab&amp;search_scope=EVERYTHING&amp;vid=01CRU&amp;lang=en_US&amp;offset=0&amp;query=any,contains,991005243069702656","Catalog Record")</f>
        <v/>
      </c>
      <c r="AT847">
        <f>HYPERLINK("http://www.worldcat.org/oclc/8432228","WorldCat Record")</f>
        <v/>
      </c>
      <c r="AU847" t="inlineStr">
        <is>
          <t>4757652839:eng</t>
        </is>
      </c>
      <c r="AV847" t="inlineStr">
        <is>
          <t>8432228</t>
        </is>
      </c>
      <c r="AW847" t="inlineStr">
        <is>
          <t>991005243069702656</t>
        </is>
      </c>
      <c r="AX847" t="inlineStr">
        <is>
          <t>991005243069702656</t>
        </is>
      </c>
      <c r="AY847" t="inlineStr">
        <is>
          <t>2260593170002656</t>
        </is>
      </c>
      <c r="AZ847" t="inlineStr">
        <is>
          <t>BOOK</t>
        </is>
      </c>
      <c r="BB847" t="inlineStr">
        <is>
          <t>9780080252698</t>
        </is>
      </c>
      <c r="BC847" t="inlineStr">
        <is>
          <t>32285001516441</t>
        </is>
      </c>
      <c r="BD847" t="inlineStr">
        <is>
          <t>893688825</t>
        </is>
      </c>
    </row>
    <row r="848">
      <c r="A848" t="inlineStr">
        <is>
          <t>No</t>
        </is>
      </c>
      <c r="B848" t="inlineStr">
        <is>
          <t>QD411 .C651 1982</t>
        </is>
      </c>
      <c r="C848" t="inlineStr">
        <is>
          <t>0                      QD 0411000C  651         1982</t>
        </is>
      </c>
      <c r="D848" t="inlineStr">
        <is>
          <t>Comprehensive organometallic chemistry : the synthesis, reactions, and structures of organometallic compounds / editor, Sir Geoffrey Wilkinson; deputy editor, F. Gordon A. Stone; executive editor, Edward W. Abel.</t>
        </is>
      </c>
      <c r="E848" t="inlineStr">
        <is>
          <t>V.3</t>
        </is>
      </c>
      <c r="F848" t="inlineStr">
        <is>
          <t>Yes</t>
        </is>
      </c>
      <c r="G848" t="inlineStr">
        <is>
          <t>1</t>
        </is>
      </c>
      <c r="H848" t="inlineStr">
        <is>
          <t>No</t>
        </is>
      </c>
      <c r="I848" t="inlineStr">
        <is>
          <t>No</t>
        </is>
      </c>
      <c r="J848" t="inlineStr">
        <is>
          <t>0</t>
        </is>
      </c>
      <c r="L848" t="inlineStr">
        <is>
          <t>Oxford [Oxfordshire] ; New York : Pergamon Press, 1982.</t>
        </is>
      </c>
      <c r="M848" t="inlineStr">
        <is>
          <t>1982</t>
        </is>
      </c>
      <c r="N848" t="inlineStr">
        <is>
          <t>1st ed.</t>
        </is>
      </c>
      <c r="O848" t="inlineStr">
        <is>
          <t>eng</t>
        </is>
      </c>
      <c r="P848" t="inlineStr">
        <is>
          <t>enk</t>
        </is>
      </c>
      <c r="R848" t="inlineStr">
        <is>
          <t xml:space="preserve">QD </t>
        </is>
      </c>
      <c r="S848" t="n">
        <v>0</v>
      </c>
      <c r="T848" t="n">
        <v>8</v>
      </c>
      <c r="V848" t="inlineStr">
        <is>
          <t>2005-04-24</t>
        </is>
      </c>
      <c r="W848" t="inlineStr">
        <is>
          <t>1992-08-05</t>
        </is>
      </c>
      <c r="X848" t="inlineStr">
        <is>
          <t>1993-02-01</t>
        </is>
      </c>
      <c r="Y848" t="n">
        <v>503</v>
      </c>
      <c r="Z848" t="n">
        <v>350</v>
      </c>
      <c r="AA848" t="n">
        <v>361</v>
      </c>
      <c r="AB848" t="n">
        <v>2</v>
      </c>
      <c r="AC848" t="n">
        <v>2</v>
      </c>
      <c r="AD848" t="n">
        <v>16</v>
      </c>
      <c r="AE848" t="n">
        <v>16</v>
      </c>
      <c r="AF848" t="n">
        <v>2</v>
      </c>
      <c r="AG848" t="n">
        <v>2</v>
      </c>
      <c r="AH848" t="n">
        <v>5</v>
      </c>
      <c r="AI848" t="n">
        <v>5</v>
      </c>
      <c r="AJ848" t="n">
        <v>12</v>
      </c>
      <c r="AK848" t="n">
        <v>12</v>
      </c>
      <c r="AL848" t="n">
        <v>1</v>
      </c>
      <c r="AM848" t="n">
        <v>1</v>
      </c>
      <c r="AN848" t="n">
        <v>0</v>
      </c>
      <c r="AO848" t="n">
        <v>0</v>
      </c>
      <c r="AP848" t="inlineStr">
        <is>
          <t>No</t>
        </is>
      </c>
      <c r="AQ848" t="inlineStr">
        <is>
          <t>Yes</t>
        </is>
      </c>
      <c r="AR848">
        <f>HYPERLINK("http://catalog.hathitrust.org/Record/000192626","HathiTrust Record")</f>
        <v/>
      </c>
      <c r="AS848">
        <f>HYPERLINK("https://creighton-primo.hosted.exlibrisgroup.com/primo-explore/search?tab=default_tab&amp;search_scope=EVERYTHING&amp;vid=01CRU&amp;lang=en_US&amp;offset=0&amp;query=any,contains,991005243069702656","Catalog Record")</f>
        <v/>
      </c>
      <c r="AT848">
        <f>HYPERLINK("http://www.worldcat.org/oclc/8432228","WorldCat Record")</f>
        <v/>
      </c>
      <c r="AU848" t="inlineStr">
        <is>
          <t>4757652839:eng</t>
        </is>
      </c>
      <c r="AV848" t="inlineStr">
        <is>
          <t>8432228</t>
        </is>
      </c>
      <c r="AW848" t="inlineStr">
        <is>
          <t>991005243069702656</t>
        </is>
      </c>
      <c r="AX848" t="inlineStr">
        <is>
          <t>991005243069702656</t>
        </is>
      </c>
      <c r="AY848" t="inlineStr">
        <is>
          <t>2260593170002656</t>
        </is>
      </c>
      <c r="AZ848" t="inlineStr">
        <is>
          <t>BOOK</t>
        </is>
      </c>
      <c r="BB848" t="inlineStr">
        <is>
          <t>9780080252698</t>
        </is>
      </c>
      <c r="BC848" t="inlineStr">
        <is>
          <t>32285001242360</t>
        </is>
      </c>
      <c r="BD848" t="inlineStr">
        <is>
          <t>893701250</t>
        </is>
      </c>
    </row>
    <row r="849">
      <c r="A849" t="inlineStr">
        <is>
          <t>No</t>
        </is>
      </c>
      <c r="B849" t="inlineStr">
        <is>
          <t>QD411 .C651 1982</t>
        </is>
      </c>
      <c r="C849" t="inlineStr">
        <is>
          <t>0                      QD 0411000C  651         1982</t>
        </is>
      </c>
      <c r="D849" t="inlineStr">
        <is>
          <t>Comprehensive organometallic chemistry : the synthesis, reactions, and structures of organometallic compounds / editor, Sir Geoffrey Wilkinson; deputy editor, F. Gordon A. Stone; executive editor, Edward W. Abel.</t>
        </is>
      </c>
      <c r="E849" t="inlineStr">
        <is>
          <t>V.5</t>
        </is>
      </c>
      <c r="F849" t="inlineStr">
        <is>
          <t>Yes</t>
        </is>
      </c>
      <c r="G849" t="inlineStr">
        <is>
          <t>1</t>
        </is>
      </c>
      <c r="H849" t="inlineStr">
        <is>
          <t>No</t>
        </is>
      </c>
      <c r="I849" t="inlineStr">
        <is>
          <t>No</t>
        </is>
      </c>
      <c r="J849" t="inlineStr">
        <is>
          <t>0</t>
        </is>
      </c>
      <c r="L849" t="inlineStr">
        <is>
          <t>Oxford [Oxfordshire] ; New York : Pergamon Press, 1982.</t>
        </is>
      </c>
      <c r="M849" t="inlineStr">
        <is>
          <t>1982</t>
        </is>
      </c>
      <c r="N849" t="inlineStr">
        <is>
          <t>1st ed.</t>
        </is>
      </c>
      <c r="O849" t="inlineStr">
        <is>
          <t>eng</t>
        </is>
      </c>
      <c r="P849" t="inlineStr">
        <is>
          <t>enk</t>
        </is>
      </c>
      <c r="R849" t="inlineStr">
        <is>
          <t xml:space="preserve">QD </t>
        </is>
      </c>
      <c r="S849" t="n">
        <v>0</v>
      </c>
      <c r="T849" t="n">
        <v>8</v>
      </c>
      <c r="V849" t="inlineStr">
        <is>
          <t>2005-04-24</t>
        </is>
      </c>
      <c r="W849" t="inlineStr">
        <is>
          <t>1992-08-05</t>
        </is>
      </c>
      <c r="X849" t="inlineStr">
        <is>
          <t>1993-02-01</t>
        </is>
      </c>
      <c r="Y849" t="n">
        <v>503</v>
      </c>
      <c r="Z849" t="n">
        <v>350</v>
      </c>
      <c r="AA849" t="n">
        <v>361</v>
      </c>
      <c r="AB849" t="n">
        <v>2</v>
      </c>
      <c r="AC849" t="n">
        <v>2</v>
      </c>
      <c r="AD849" t="n">
        <v>16</v>
      </c>
      <c r="AE849" t="n">
        <v>16</v>
      </c>
      <c r="AF849" t="n">
        <v>2</v>
      </c>
      <c r="AG849" t="n">
        <v>2</v>
      </c>
      <c r="AH849" t="n">
        <v>5</v>
      </c>
      <c r="AI849" t="n">
        <v>5</v>
      </c>
      <c r="AJ849" t="n">
        <v>12</v>
      </c>
      <c r="AK849" t="n">
        <v>12</v>
      </c>
      <c r="AL849" t="n">
        <v>1</v>
      </c>
      <c r="AM849" t="n">
        <v>1</v>
      </c>
      <c r="AN849" t="n">
        <v>0</v>
      </c>
      <c r="AO849" t="n">
        <v>0</v>
      </c>
      <c r="AP849" t="inlineStr">
        <is>
          <t>No</t>
        </is>
      </c>
      <c r="AQ849" t="inlineStr">
        <is>
          <t>Yes</t>
        </is>
      </c>
      <c r="AR849">
        <f>HYPERLINK("http://catalog.hathitrust.org/Record/000192626","HathiTrust Record")</f>
        <v/>
      </c>
      <c r="AS849">
        <f>HYPERLINK("https://creighton-primo.hosted.exlibrisgroup.com/primo-explore/search?tab=default_tab&amp;search_scope=EVERYTHING&amp;vid=01CRU&amp;lang=en_US&amp;offset=0&amp;query=any,contains,991005243069702656","Catalog Record")</f>
        <v/>
      </c>
      <c r="AT849">
        <f>HYPERLINK("http://www.worldcat.org/oclc/8432228","WorldCat Record")</f>
        <v/>
      </c>
      <c r="AU849" t="inlineStr">
        <is>
          <t>4757652839:eng</t>
        </is>
      </c>
      <c r="AV849" t="inlineStr">
        <is>
          <t>8432228</t>
        </is>
      </c>
      <c r="AW849" t="inlineStr">
        <is>
          <t>991005243069702656</t>
        </is>
      </c>
      <c r="AX849" t="inlineStr">
        <is>
          <t>991005243069702656</t>
        </is>
      </c>
      <c r="AY849" t="inlineStr">
        <is>
          <t>2260593170002656</t>
        </is>
      </c>
      <c r="AZ849" t="inlineStr">
        <is>
          <t>BOOK</t>
        </is>
      </c>
      <c r="BB849" t="inlineStr">
        <is>
          <t>9780080252698</t>
        </is>
      </c>
      <c r="BC849" t="inlineStr">
        <is>
          <t>32285001242386</t>
        </is>
      </c>
      <c r="BD849" t="inlineStr">
        <is>
          <t>893694974</t>
        </is>
      </c>
    </row>
    <row r="850">
      <c r="A850" t="inlineStr">
        <is>
          <t>No</t>
        </is>
      </c>
      <c r="B850" t="inlineStr">
        <is>
          <t>QD411 .C651 1982</t>
        </is>
      </c>
      <c r="C850" t="inlineStr">
        <is>
          <t>0                      QD 0411000C  651         1982</t>
        </is>
      </c>
      <c r="D850" t="inlineStr">
        <is>
          <t>Comprehensive organometallic chemistry : the synthesis, reactions, and structures of organometallic compounds / editor, Sir Geoffrey Wilkinson; deputy editor, F. Gordon A. Stone; executive editor, Edward W. Abel.</t>
        </is>
      </c>
      <c r="E850" t="inlineStr">
        <is>
          <t>V.4</t>
        </is>
      </c>
      <c r="F850" t="inlineStr">
        <is>
          <t>Yes</t>
        </is>
      </c>
      <c r="G850" t="inlineStr">
        <is>
          <t>1</t>
        </is>
      </c>
      <c r="H850" t="inlineStr">
        <is>
          <t>No</t>
        </is>
      </c>
      <c r="I850" t="inlineStr">
        <is>
          <t>No</t>
        </is>
      </c>
      <c r="J850" t="inlineStr">
        <is>
          <t>0</t>
        </is>
      </c>
      <c r="L850" t="inlineStr">
        <is>
          <t>Oxford [Oxfordshire] ; New York : Pergamon Press, 1982.</t>
        </is>
      </c>
      <c r="M850" t="inlineStr">
        <is>
          <t>1982</t>
        </is>
      </c>
      <c r="N850" t="inlineStr">
        <is>
          <t>1st ed.</t>
        </is>
      </c>
      <c r="O850" t="inlineStr">
        <is>
          <t>eng</t>
        </is>
      </c>
      <c r="P850" t="inlineStr">
        <is>
          <t>enk</t>
        </is>
      </c>
      <c r="R850" t="inlineStr">
        <is>
          <t xml:space="preserve">QD </t>
        </is>
      </c>
      <c r="S850" t="n">
        <v>0</v>
      </c>
      <c r="T850" t="n">
        <v>8</v>
      </c>
      <c r="V850" t="inlineStr">
        <is>
          <t>2005-04-24</t>
        </is>
      </c>
      <c r="W850" t="inlineStr">
        <is>
          <t>1992-08-05</t>
        </is>
      </c>
      <c r="X850" t="inlineStr">
        <is>
          <t>1993-02-01</t>
        </is>
      </c>
      <c r="Y850" t="n">
        <v>503</v>
      </c>
      <c r="Z850" t="n">
        <v>350</v>
      </c>
      <c r="AA850" t="n">
        <v>361</v>
      </c>
      <c r="AB850" t="n">
        <v>2</v>
      </c>
      <c r="AC850" t="n">
        <v>2</v>
      </c>
      <c r="AD850" t="n">
        <v>16</v>
      </c>
      <c r="AE850" t="n">
        <v>16</v>
      </c>
      <c r="AF850" t="n">
        <v>2</v>
      </c>
      <c r="AG850" t="n">
        <v>2</v>
      </c>
      <c r="AH850" t="n">
        <v>5</v>
      </c>
      <c r="AI850" t="n">
        <v>5</v>
      </c>
      <c r="AJ850" t="n">
        <v>12</v>
      </c>
      <c r="AK850" t="n">
        <v>12</v>
      </c>
      <c r="AL850" t="n">
        <v>1</v>
      </c>
      <c r="AM850" t="n">
        <v>1</v>
      </c>
      <c r="AN850" t="n">
        <v>0</v>
      </c>
      <c r="AO850" t="n">
        <v>0</v>
      </c>
      <c r="AP850" t="inlineStr">
        <is>
          <t>No</t>
        </is>
      </c>
      <c r="AQ850" t="inlineStr">
        <is>
          <t>Yes</t>
        </is>
      </c>
      <c r="AR850">
        <f>HYPERLINK("http://catalog.hathitrust.org/Record/000192626","HathiTrust Record")</f>
        <v/>
      </c>
      <c r="AS850">
        <f>HYPERLINK("https://creighton-primo.hosted.exlibrisgroup.com/primo-explore/search?tab=default_tab&amp;search_scope=EVERYTHING&amp;vid=01CRU&amp;lang=en_US&amp;offset=0&amp;query=any,contains,991005243069702656","Catalog Record")</f>
        <v/>
      </c>
      <c r="AT850">
        <f>HYPERLINK("http://www.worldcat.org/oclc/8432228","WorldCat Record")</f>
        <v/>
      </c>
      <c r="AU850" t="inlineStr">
        <is>
          <t>4757652839:eng</t>
        </is>
      </c>
      <c r="AV850" t="inlineStr">
        <is>
          <t>8432228</t>
        </is>
      </c>
      <c r="AW850" t="inlineStr">
        <is>
          <t>991005243069702656</t>
        </is>
      </c>
      <c r="AX850" t="inlineStr">
        <is>
          <t>991005243069702656</t>
        </is>
      </c>
      <c r="AY850" t="inlineStr">
        <is>
          <t>2260593170002656</t>
        </is>
      </c>
      <c r="AZ850" t="inlineStr">
        <is>
          <t>BOOK</t>
        </is>
      </c>
      <c r="BB850" t="inlineStr">
        <is>
          <t>9780080252698</t>
        </is>
      </c>
      <c r="BC850" t="inlineStr">
        <is>
          <t>32285001242378</t>
        </is>
      </c>
      <c r="BD850" t="inlineStr">
        <is>
          <t>893694975</t>
        </is>
      </c>
    </row>
    <row r="851">
      <c r="A851" t="inlineStr">
        <is>
          <t>No</t>
        </is>
      </c>
      <c r="B851" t="inlineStr">
        <is>
          <t>QD411 .C651 1982</t>
        </is>
      </c>
      <c r="C851" t="inlineStr">
        <is>
          <t>0                      QD 0411000C  651         1982</t>
        </is>
      </c>
      <c r="D851" t="inlineStr">
        <is>
          <t>Comprehensive organometallic chemistry : the synthesis, reactions, and structures of organometallic compounds / editor, Sir Geoffrey Wilkinson; deputy editor, F. Gordon A. Stone; executive editor, Edward W. Abel.</t>
        </is>
      </c>
      <c r="E851" t="inlineStr">
        <is>
          <t>V.7</t>
        </is>
      </c>
      <c r="F851" t="inlineStr">
        <is>
          <t>Yes</t>
        </is>
      </c>
      <c r="G851" t="inlineStr">
        <is>
          <t>1</t>
        </is>
      </c>
      <c r="H851" t="inlineStr">
        <is>
          <t>No</t>
        </is>
      </c>
      <c r="I851" t="inlineStr">
        <is>
          <t>No</t>
        </is>
      </c>
      <c r="J851" t="inlineStr">
        <is>
          <t>0</t>
        </is>
      </c>
      <c r="L851" t="inlineStr">
        <is>
          <t>Oxford [Oxfordshire] ; New York : Pergamon Press, 1982.</t>
        </is>
      </c>
      <c r="M851" t="inlineStr">
        <is>
          <t>1982</t>
        </is>
      </c>
      <c r="N851" t="inlineStr">
        <is>
          <t>1st ed.</t>
        </is>
      </c>
      <c r="O851" t="inlineStr">
        <is>
          <t>eng</t>
        </is>
      </c>
      <c r="P851" t="inlineStr">
        <is>
          <t>enk</t>
        </is>
      </c>
      <c r="R851" t="inlineStr">
        <is>
          <t xml:space="preserve">QD </t>
        </is>
      </c>
      <c r="S851" t="n">
        <v>0</v>
      </c>
      <c r="T851" t="n">
        <v>8</v>
      </c>
      <c r="V851" t="inlineStr">
        <is>
          <t>2005-04-24</t>
        </is>
      </c>
      <c r="W851" t="inlineStr">
        <is>
          <t>1993-02-01</t>
        </is>
      </c>
      <c r="X851" t="inlineStr">
        <is>
          <t>1993-02-01</t>
        </is>
      </c>
      <c r="Y851" t="n">
        <v>503</v>
      </c>
      <c r="Z851" t="n">
        <v>350</v>
      </c>
      <c r="AA851" t="n">
        <v>361</v>
      </c>
      <c r="AB851" t="n">
        <v>2</v>
      </c>
      <c r="AC851" t="n">
        <v>2</v>
      </c>
      <c r="AD851" t="n">
        <v>16</v>
      </c>
      <c r="AE851" t="n">
        <v>16</v>
      </c>
      <c r="AF851" t="n">
        <v>2</v>
      </c>
      <c r="AG851" t="n">
        <v>2</v>
      </c>
      <c r="AH851" t="n">
        <v>5</v>
      </c>
      <c r="AI851" t="n">
        <v>5</v>
      </c>
      <c r="AJ851" t="n">
        <v>12</v>
      </c>
      <c r="AK851" t="n">
        <v>12</v>
      </c>
      <c r="AL851" t="n">
        <v>1</v>
      </c>
      <c r="AM851" t="n">
        <v>1</v>
      </c>
      <c r="AN851" t="n">
        <v>0</v>
      </c>
      <c r="AO851" t="n">
        <v>0</v>
      </c>
      <c r="AP851" t="inlineStr">
        <is>
          <t>No</t>
        </is>
      </c>
      <c r="AQ851" t="inlineStr">
        <is>
          <t>Yes</t>
        </is>
      </c>
      <c r="AR851">
        <f>HYPERLINK("http://catalog.hathitrust.org/Record/000192626","HathiTrust Record")</f>
        <v/>
      </c>
      <c r="AS851">
        <f>HYPERLINK("https://creighton-primo.hosted.exlibrisgroup.com/primo-explore/search?tab=default_tab&amp;search_scope=EVERYTHING&amp;vid=01CRU&amp;lang=en_US&amp;offset=0&amp;query=any,contains,991005243069702656","Catalog Record")</f>
        <v/>
      </c>
      <c r="AT851">
        <f>HYPERLINK("http://www.worldcat.org/oclc/8432228","WorldCat Record")</f>
        <v/>
      </c>
      <c r="AU851" t="inlineStr">
        <is>
          <t>4757652839:eng</t>
        </is>
      </c>
      <c r="AV851" t="inlineStr">
        <is>
          <t>8432228</t>
        </is>
      </c>
      <c r="AW851" t="inlineStr">
        <is>
          <t>991005243069702656</t>
        </is>
      </c>
      <c r="AX851" t="inlineStr">
        <is>
          <t>991005243069702656</t>
        </is>
      </c>
      <c r="AY851" t="inlineStr">
        <is>
          <t>2260593170002656</t>
        </is>
      </c>
      <c r="AZ851" t="inlineStr">
        <is>
          <t>BOOK</t>
        </is>
      </c>
      <c r="BB851" t="inlineStr">
        <is>
          <t>9780080252698</t>
        </is>
      </c>
      <c r="BC851" t="inlineStr">
        <is>
          <t>32285001516474</t>
        </is>
      </c>
      <c r="BD851" t="inlineStr">
        <is>
          <t>893694973</t>
        </is>
      </c>
    </row>
    <row r="852">
      <c r="A852" t="inlineStr">
        <is>
          <t>No</t>
        </is>
      </c>
      <c r="B852" t="inlineStr">
        <is>
          <t>QD411 .C651 1982</t>
        </is>
      </c>
      <c r="C852" t="inlineStr">
        <is>
          <t>0                      QD 0411000C  651         1982</t>
        </is>
      </c>
      <c r="D852" t="inlineStr">
        <is>
          <t>Comprehensive organometallic chemistry : the synthesis, reactions, and structures of organometallic compounds / editor, Sir Geoffrey Wilkinson; deputy editor, F. Gordon A. Stone; executive editor, Edward W. Abel.</t>
        </is>
      </c>
      <c r="E852" t="inlineStr">
        <is>
          <t>V.2</t>
        </is>
      </c>
      <c r="F852" t="inlineStr">
        <is>
          <t>Yes</t>
        </is>
      </c>
      <c r="G852" t="inlineStr">
        <is>
          <t>1</t>
        </is>
      </c>
      <c r="H852" t="inlineStr">
        <is>
          <t>No</t>
        </is>
      </c>
      <c r="I852" t="inlineStr">
        <is>
          <t>No</t>
        </is>
      </c>
      <c r="J852" t="inlineStr">
        <is>
          <t>0</t>
        </is>
      </c>
      <c r="L852" t="inlineStr">
        <is>
          <t>Oxford [Oxfordshire] ; New York : Pergamon Press, 1982.</t>
        </is>
      </c>
      <c r="M852" t="inlineStr">
        <is>
          <t>1982</t>
        </is>
      </c>
      <c r="N852" t="inlineStr">
        <is>
          <t>1st ed.</t>
        </is>
      </c>
      <c r="O852" t="inlineStr">
        <is>
          <t>eng</t>
        </is>
      </c>
      <c r="P852" t="inlineStr">
        <is>
          <t>enk</t>
        </is>
      </c>
      <c r="R852" t="inlineStr">
        <is>
          <t xml:space="preserve">QD </t>
        </is>
      </c>
      <c r="S852" t="n">
        <v>6</v>
      </c>
      <c r="T852" t="n">
        <v>8</v>
      </c>
      <c r="U852" t="inlineStr">
        <is>
          <t>2005-04-24</t>
        </is>
      </c>
      <c r="V852" t="inlineStr">
        <is>
          <t>2005-04-24</t>
        </is>
      </c>
      <c r="W852" t="inlineStr">
        <is>
          <t>1993-02-01</t>
        </is>
      </c>
      <c r="X852" t="inlineStr">
        <is>
          <t>1993-02-01</t>
        </is>
      </c>
      <c r="Y852" t="n">
        <v>503</v>
      </c>
      <c r="Z852" t="n">
        <v>350</v>
      </c>
      <c r="AA852" t="n">
        <v>361</v>
      </c>
      <c r="AB852" t="n">
        <v>2</v>
      </c>
      <c r="AC852" t="n">
        <v>2</v>
      </c>
      <c r="AD852" t="n">
        <v>16</v>
      </c>
      <c r="AE852" t="n">
        <v>16</v>
      </c>
      <c r="AF852" t="n">
        <v>2</v>
      </c>
      <c r="AG852" t="n">
        <v>2</v>
      </c>
      <c r="AH852" t="n">
        <v>5</v>
      </c>
      <c r="AI852" t="n">
        <v>5</v>
      </c>
      <c r="AJ852" t="n">
        <v>12</v>
      </c>
      <c r="AK852" t="n">
        <v>12</v>
      </c>
      <c r="AL852" t="n">
        <v>1</v>
      </c>
      <c r="AM852" t="n">
        <v>1</v>
      </c>
      <c r="AN852" t="n">
        <v>0</v>
      </c>
      <c r="AO852" t="n">
        <v>0</v>
      </c>
      <c r="AP852" t="inlineStr">
        <is>
          <t>No</t>
        </is>
      </c>
      <c r="AQ852" t="inlineStr">
        <is>
          <t>Yes</t>
        </is>
      </c>
      <c r="AR852">
        <f>HYPERLINK("http://catalog.hathitrust.org/Record/000192626","HathiTrust Record")</f>
        <v/>
      </c>
      <c r="AS852">
        <f>HYPERLINK("https://creighton-primo.hosted.exlibrisgroup.com/primo-explore/search?tab=default_tab&amp;search_scope=EVERYTHING&amp;vid=01CRU&amp;lang=en_US&amp;offset=0&amp;query=any,contains,991005243069702656","Catalog Record")</f>
        <v/>
      </c>
      <c r="AT852">
        <f>HYPERLINK("http://www.worldcat.org/oclc/8432228","WorldCat Record")</f>
        <v/>
      </c>
      <c r="AU852" t="inlineStr">
        <is>
          <t>4757652839:eng</t>
        </is>
      </c>
      <c r="AV852" t="inlineStr">
        <is>
          <t>8432228</t>
        </is>
      </c>
      <c r="AW852" t="inlineStr">
        <is>
          <t>991005243069702656</t>
        </is>
      </c>
      <c r="AX852" t="inlineStr">
        <is>
          <t>991005243069702656</t>
        </is>
      </c>
      <c r="AY852" t="inlineStr">
        <is>
          <t>2260593170002656</t>
        </is>
      </c>
      <c r="AZ852" t="inlineStr">
        <is>
          <t>BOOK</t>
        </is>
      </c>
      <c r="BB852" t="inlineStr">
        <is>
          <t>9780080252698</t>
        </is>
      </c>
      <c r="BC852" t="inlineStr">
        <is>
          <t>32285001516458</t>
        </is>
      </c>
      <c r="BD852" t="inlineStr">
        <is>
          <t>893713711</t>
        </is>
      </c>
    </row>
    <row r="853">
      <c r="A853" t="inlineStr">
        <is>
          <t>No</t>
        </is>
      </c>
      <c r="B853" t="inlineStr">
        <is>
          <t>QD411 .C651 1982</t>
        </is>
      </c>
      <c r="C853" t="inlineStr">
        <is>
          <t>0                      QD 0411000C  651         1982</t>
        </is>
      </c>
      <c r="D853" t="inlineStr">
        <is>
          <t>Comprehensive organometallic chemistry : the synthesis, reactions, and structures of organometallic compounds / editor, Sir Geoffrey Wilkinson; deputy editor, F. Gordon A. Stone; executive editor, Edward W. Abel.</t>
        </is>
      </c>
      <c r="E853" t="inlineStr">
        <is>
          <t>V.9</t>
        </is>
      </c>
      <c r="F853" t="inlineStr">
        <is>
          <t>Yes</t>
        </is>
      </c>
      <c r="G853" t="inlineStr">
        <is>
          <t>1</t>
        </is>
      </c>
      <c r="H853" t="inlineStr">
        <is>
          <t>No</t>
        </is>
      </c>
      <c r="I853" t="inlineStr">
        <is>
          <t>No</t>
        </is>
      </c>
      <c r="J853" t="inlineStr">
        <is>
          <t>0</t>
        </is>
      </c>
      <c r="L853" t="inlineStr">
        <is>
          <t>Oxford [Oxfordshire] ; New York : Pergamon Press, 1982.</t>
        </is>
      </c>
      <c r="M853" t="inlineStr">
        <is>
          <t>1982</t>
        </is>
      </c>
      <c r="N853" t="inlineStr">
        <is>
          <t>1st ed.</t>
        </is>
      </c>
      <c r="O853" t="inlineStr">
        <is>
          <t>eng</t>
        </is>
      </c>
      <c r="P853" t="inlineStr">
        <is>
          <t>enk</t>
        </is>
      </c>
      <c r="R853" t="inlineStr">
        <is>
          <t xml:space="preserve">QD </t>
        </is>
      </c>
      <c r="S853" t="n">
        <v>0</v>
      </c>
      <c r="T853" t="n">
        <v>8</v>
      </c>
      <c r="V853" t="inlineStr">
        <is>
          <t>2005-04-24</t>
        </is>
      </c>
      <c r="W853" t="inlineStr">
        <is>
          <t>1993-02-01</t>
        </is>
      </c>
      <c r="X853" t="inlineStr">
        <is>
          <t>1993-02-01</t>
        </is>
      </c>
      <c r="Y853" t="n">
        <v>503</v>
      </c>
      <c r="Z853" t="n">
        <v>350</v>
      </c>
      <c r="AA853" t="n">
        <v>361</v>
      </c>
      <c r="AB853" t="n">
        <v>2</v>
      </c>
      <c r="AC853" t="n">
        <v>2</v>
      </c>
      <c r="AD853" t="n">
        <v>16</v>
      </c>
      <c r="AE853" t="n">
        <v>16</v>
      </c>
      <c r="AF853" t="n">
        <v>2</v>
      </c>
      <c r="AG853" t="n">
        <v>2</v>
      </c>
      <c r="AH853" t="n">
        <v>5</v>
      </c>
      <c r="AI853" t="n">
        <v>5</v>
      </c>
      <c r="AJ853" t="n">
        <v>12</v>
      </c>
      <c r="AK853" t="n">
        <v>12</v>
      </c>
      <c r="AL853" t="n">
        <v>1</v>
      </c>
      <c r="AM853" t="n">
        <v>1</v>
      </c>
      <c r="AN853" t="n">
        <v>0</v>
      </c>
      <c r="AO853" t="n">
        <v>0</v>
      </c>
      <c r="AP853" t="inlineStr">
        <is>
          <t>No</t>
        </is>
      </c>
      <c r="AQ853" t="inlineStr">
        <is>
          <t>Yes</t>
        </is>
      </c>
      <c r="AR853">
        <f>HYPERLINK("http://catalog.hathitrust.org/Record/000192626","HathiTrust Record")</f>
        <v/>
      </c>
      <c r="AS853">
        <f>HYPERLINK("https://creighton-primo.hosted.exlibrisgroup.com/primo-explore/search?tab=default_tab&amp;search_scope=EVERYTHING&amp;vid=01CRU&amp;lang=en_US&amp;offset=0&amp;query=any,contains,991005243069702656","Catalog Record")</f>
        <v/>
      </c>
      <c r="AT853">
        <f>HYPERLINK("http://www.worldcat.org/oclc/8432228","WorldCat Record")</f>
        <v/>
      </c>
      <c r="AU853" t="inlineStr">
        <is>
          <t>4757652839:eng</t>
        </is>
      </c>
      <c r="AV853" t="inlineStr">
        <is>
          <t>8432228</t>
        </is>
      </c>
      <c r="AW853" t="inlineStr">
        <is>
          <t>991005243069702656</t>
        </is>
      </c>
      <c r="AX853" t="inlineStr">
        <is>
          <t>991005243069702656</t>
        </is>
      </c>
      <c r="AY853" t="inlineStr">
        <is>
          <t>2260593170002656</t>
        </is>
      </c>
      <c r="AZ853" t="inlineStr">
        <is>
          <t>BOOK</t>
        </is>
      </c>
      <c r="BB853" t="inlineStr">
        <is>
          <t>9780080252698</t>
        </is>
      </c>
      <c r="BC853" t="inlineStr">
        <is>
          <t>32285001516490</t>
        </is>
      </c>
      <c r="BD853" t="inlineStr">
        <is>
          <t>893713710</t>
        </is>
      </c>
    </row>
    <row r="854">
      <c r="A854" t="inlineStr">
        <is>
          <t>No</t>
        </is>
      </c>
      <c r="B854" t="inlineStr">
        <is>
          <t>QD411 .C651 1982</t>
        </is>
      </c>
      <c r="C854" t="inlineStr">
        <is>
          <t>0                      QD 0411000C  651         1982</t>
        </is>
      </c>
      <c r="D854" t="inlineStr">
        <is>
          <t>Comprehensive organometallic chemistry : the synthesis, reactions, and structures of organometallic compounds / editor, Sir Geoffrey Wilkinson; deputy editor, F. Gordon A. Stone; executive editor, Edward W. Abel.</t>
        </is>
      </c>
      <c r="E854" t="inlineStr">
        <is>
          <t>V.6</t>
        </is>
      </c>
      <c r="F854" t="inlineStr">
        <is>
          <t>Yes</t>
        </is>
      </c>
      <c r="G854" t="inlineStr">
        <is>
          <t>1</t>
        </is>
      </c>
      <c r="H854" t="inlineStr">
        <is>
          <t>No</t>
        </is>
      </c>
      <c r="I854" t="inlineStr">
        <is>
          <t>No</t>
        </is>
      </c>
      <c r="J854" t="inlineStr">
        <is>
          <t>0</t>
        </is>
      </c>
      <c r="L854" t="inlineStr">
        <is>
          <t>Oxford [Oxfordshire] ; New York : Pergamon Press, 1982.</t>
        </is>
      </c>
      <c r="M854" t="inlineStr">
        <is>
          <t>1982</t>
        </is>
      </c>
      <c r="N854" t="inlineStr">
        <is>
          <t>1st ed.</t>
        </is>
      </c>
      <c r="O854" t="inlineStr">
        <is>
          <t>eng</t>
        </is>
      </c>
      <c r="P854" t="inlineStr">
        <is>
          <t>enk</t>
        </is>
      </c>
      <c r="R854" t="inlineStr">
        <is>
          <t xml:space="preserve">QD </t>
        </is>
      </c>
      <c r="S854" t="n">
        <v>1</v>
      </c>
      <c r="T854" t="n">
        <v>8</v>
      </c>
      <c r="V854" t="inlineStr">
        <is>
          <t>2005-04-24</t>
        </is>
      </c>
      <c r="W854" t="inlineStr">
        <is>
          <t>1993-02-01</t>
        </is>
      </c>
      <c r="X854" t="inlineStr">
        <is>
          <t>1993-02-01</t>
        </is>
      </c>
      <c r="Y854" t="n">
        <v>503</v>
      </c>
      <c r="Z854" t="n">
        <v>350</v>
      </c>
      <c r="AA854" t="n">
        <v>361</v>
      </c>
      <c r="AB854" t="n">
        <v>2</v>
      </c>
      <c r="AC854" t="n">
        <v>2</v>
      </c>
      <c r="AD854" t="n">
        <v>16</v>
      </c>
      <c r="AE854" t="n">
        <v>16</v>
      </c>
      <c r="AF854" t="n">
        <v>2</v>
      </c>
      <c r="AG854" t="n">
        <v>2</v>
      </c>
      <c r="AH854" t="n">
        <v>5</v>
      </c>
      <c r="AI854" t="n">
        <v>5</v>
      </c>
      <c r="AJ854" t="n">
        <v>12</v>
      </c>
      <c r="AK854" t="n">
        <v>12</v>
      </c>
      <c r="AL854" t="n">
        <v>1</v>
      </c>
      <c r="AM854" t="n">
        <v>1</v>
      </c>
      <c r="AN854" t="n">
        <v>0</v>
      </c>
      <c r="AO854" t="n">
        <v>0</v>
      </c>
      <c r="AP854" t="inlineStr">
        <is>
          <t>No</t>
        </is>
      </c>
      <c r="AQ854" t="inlineStr">
        <is>
          <t>Yes</t>
        </is>
      </c>
      <c r="AR854">
        <f>HYPERLINK("http://catalog.hathitrust.org/Record/000192626","HathiTrust Record")</f>
        <v/>
      </c>
      <c r="AS854">
        <f>HYPERLINK("https://creighton-primo.hosted.exlibrisgroup.com/primo-explore/search?tab=default_tab&amp;search_scope=EVERYTHING&amp;vid=01CRU&amp;lang=en_US&amp;offset=0&amp;query=any,contains,991005243069702656","Catalog Record")</f>
        <v/>
      </c>
      <c r="AT854">
        <f>HYPERLINK("http://www.worldcat.org/oclc/8432228","WorldCat Record")</f>
        <v/>
      </c>
      <c r="AU854" t="inlineStr">
        <is>
          <t>4757652839:eng</t>
        </is>
      </c>
      <c r="AV854" t="inlineStr">
        <is>
          <t>8432228</t>
        </is>
      </c>
      <c r="AW854" t="inlineStr">
        <is>
          <t>991005243069702656</t>
        </is>
      </c>
      <c r="AX854" t="inlineStr">
        <is>
          <t>991005243069702656</t>
        </is>
      </c>
      <c r="AY854" t="inlineStr">
        <is>
          <t>2260593170002656</t>
        </is>
      </c>
      <c r="AZ854" t="inlineStr">
        <is>
          <t>BOOK</t>
        </is>
      </c>
      <c r="BB854" t="inlineStr">
        <is>
          <t>9780080252698</t>
        </is>
      </c>
      <c r="BC854" t="inlineStr">
        <is>
          <t>32285001516466</t>
        </is>
      </c>
      <c r="BD854" t="inlineStr">
        <is>
          <t>893707512</t>
        </is>
      </c>
    </row>
    <row r="855">
      <c r="A855" t="inlineStr">
        <is>
          <t>No</t>
        </is>
      </c>
      <c r="B855" t="inlineStr">
        <is>
          <t>QD411 .C651 1982</t>
        </is>
      </c>
      <c r="C855" t="inlineStr">
        <is>
          <t>0                      QD 0411000C  651         1982</t>
        </is>
      </c>
      <c r="D855" t="inlineStr">
        <is>
          <t>Comprehensive organometallic chemistry : the synthesis, reactions, and structures of organometallic compounds / editor, Sir Geoffrey Wilkinson; deputy editor, F. Gordon A. Stone; executive editor, Edward W. Abel.</t>
        </is>
      </c>
      <c r="E855" t="inlineStr">
        <is>
          <t>V.8</t>
        </is>
      </c>
      <c r="F855" t="inlineStr">
        <is>
          <t>Yes</t>
        </is>
      </c>
      <c r="G855" t="inlineStr">
        <is>
          <t>1</t>
        </is>
      </c>
      <c r="H855" t="inlineStr">
        <is>
          <t>No</t>
        </is>
      </c>
      <c r="I855" t="inlineStr">
        <is>
          <t>No</t>
        </is>
      </c>
      <c r="J855" t="inlineStr">
        <is>
          <t>0</t>
        </is>
      </c>
      <c r="L855" t="inlineStr">
        <is>
          <t>Oxford [Oxfordshire] ; New York : Pergamon Press, 1982.</t>
        </is>
      </c>
      <c r="M855" t="inlineStr">
        <is>
          <t>1982</t>
        </is>
      </c>
      <c r="N855" t="inlineStr">
        <is>
          <t>1st ed.</t>
        </is>
      </c>
      <c r="O855" t="inlineStr">
        <is>
          <t>eng</t>
        </is>
      </c>
      <c r="P855" t="inlineStr">
        <is>
          <t>enk</t>
        </is>
      </c>
      <c r="R855" t="inlineStr">
        <is>
          <t xml:space="preserve">QD </t>
        </is>
      </c>
      <c r="S855" t="n">
        <v>0</v>
      </c>
      <c r="T855" t="n">
        <v>8</v>
      </c>
      <c r="V855" t="inlineStr">
        <is>
          <t>2005-04-24</t>
        </is>
      </c>
      <c r="W855" t="inlineStr">
        <is>
          <t>1993-02-01</t>
        </is>
      </c>
      <c r="X855" t="inlineStr">
        <is>
          <t>1993-02-01</t>
        </is>
      </c>
      <c r="Y855" t="n">
        <v>503</v>
      </c>
      <c r="Z855" t="n">
        <v>350</v>
      </c>
      <c r="AA855" t="n">
        <v>361</v>
      </c>
      <c r="AB855" t="n">
        <v>2</v>
      </c>
      <c r="AC855" t="n">
        <v>2</v>
      </c>
      <c r="AD855" t="n">
        <v>16</v>
      </c>
      <c r="AE855" t="n">
        <v>16</v>
      </c>
      <c r="AF855" t="n">
        <v>2</v>
      </c>
      <c r="AG855" t="n">
        <v>2</v>
      </c>
      <c r="AH855" t="n">
        <v>5</v>
      </c>
      <c r="AI855" t="n">
        <v>5</v>
      </c>
      <c r="AJ855" t="n">
        <v>12</v>
      </c>
      <c r="AK855" t="n">
        <v>12</v>
      </c>
      <c r="AL855" t="n">
        <v>1</v>
      </c>
      <c r="AM855" t="n">
        <v>1</v>
      </c>
      <c r="AN855" t="n">
        <v>0</v>
      </c>
      <c r="AO855" t="n">
        <v>0</v>
      </c>
      <c r="AP855" t="inlineStr">
        <is>
          <t>No</t>
        </is>
      </c>
      <c r="AQ855" t="inlineStr">
        <is>
          <t>Yes</t>
        </is>
      </c>
      <c r="AR855">
        <f>HYPERLINK("http://catalog.hathitrust.org/Record/000192626","HathiTrust Record")</f>
        <v/>
      </c>
      <c r="AS855">
        <f>HYPERLINK("https://creighton-primo.hosted.exlibrisgroup.com/primo-explore/search?tab=default_tab&amp;search_scope=EVERYTHING&amp;vid=01CRU&amp;lang=en_US&amp;offset=0&amp;query=any,contains,991005243069702656","Catalog Record")</f>
        <v/>
      </c>
      <c r="AT855">
        <f>HYPERLINK("http://www.worldcat.org/oclc/8432228","WorldCat Record")</f>
        <v/>
      </c>
      <c r="AU855" t="inlineStr">
        <is>
          <t>4757652839:eng</t>
        </is>
      </c>
      <c r="AV855" t="inlineStr">
        <is>
          <t>8432228</t>
        </is>
      </c>
      <c r="AW855" t="inlineStr">
        <is>
          <t>991005243069702656</t>
        </is>
      </c>
      <c r="AX855" t="inlineStr">
        <is>
          <t>991005243069702656</t>
        </is>
      </c>
      <c r="AY855" t="inlineStr">
        <is>
          <t>2260593170002656</t>
        </is>
      </c>
      <c r="AZ855" t="inlineStr">
        <is>
          <t>BOOK</t>
        </is>
      </c>
      <c r="BB855" t="inlineStr">
        <is>
          <t>9780080252698</t>
        </is>
      </c>
      <c r="BC855" t="inlineStr">
        <is>
          <t>32285001516482</t>
        </is>
      </c>
      <c r="BD855" t="inlineStr">
        <is>
          <t>893713712</t>
        </is>
      </c>
    </row>
    <row r="856">
      <c r="A856" t="inlineStr">
        <is>
          <t>No</t>
        </is>
      </c>
      <c r="B856" t="inlineStr">
        <is>
          <t>QD411 .E35 1967</t>
        </is>
      </c>
      <c r="C856" t="inlineStr">
        <is>
          <t>0                      QD 0411000E  35          1967</t>
        </is>
      </c>
      <c r="D856" t="inlineStr">
        <is>
          <t>The chemistry of organometallic compounds : the main group elements / [by] John J. Eisch.</t>
        </is>
      </c>
      <c r="F856" t="inlineStr">
        <is>
          <t>No</t>
        </is>
      </c>
      <c r="G856" t="inlineStr">
        <is>
          <t>1</t>
        </is>
      </c>
      <c r="H856" t="inlineStr">
        <is>
          <t>No</t>
        </is>
      </c>
      <c r="I856" t="inlineStr">
        <is>
          <t>No</t>
        </is>
      </c>
      <c r="J856" t="inlineStr">
        <is>
          <t>0</t>
        </is>
      </c>
      <c r="K856" t="inlineStr">
        <is>
          <t>Eisch, John J.</t>
        </is>
      </c>
      <c r="L856" t="inlineStr">
        <is>
          <t>New York : Macmillan, [1967]</t>
        </is>
      </c>
      <c r="M856" t="inlineStr">
        <is>
          <t>1967</t>
        </is>
      </c>
      <c r="O856" t="inlineStr">
        <is>
          <t>eng</t>
        </is>
      </c>
      <c r="P856" t="inlineStr">
        <is>
          <t>nyu</t>
        </is>
      </c>
      <c r="R856" t="inlineStr">
        <is>
          <t xml:space="preserve">QD </t>
        </is>
      </c>
      <c r="S856" t="n">
        <v>1</v>
      </c>
      <c r="T856" t="n">
        <v>1</v>
      </c>
      <c r="U856" t="inlineStr">
        <is>
          <t>1997-05-06</t>
        </is>
      </c>
      <c r="V856" t="inlineStr">
        <is>
          <t>1997-05-06</t>
        </is>
      </c>
      <c r="W856" t="inlineStr">
        <is>
          <t>1993-11-30</t>
        </is>
      </c>
      <c r="X856" t="inlineStr">
        <is>
          <t>1993-11-30</t>
        </is>
      </c>
      <c r="Y856" t="n">
        <v>493</v>
      </c>
      <c r="Z856" t="n">
        <v>394</v>
      </c>
      <c r="AA856" t="n">
        <v>398</v>
      </c>
      <c r="AB856" t="n">
        <v>5</v>
      </c>
      <c r="AC856" t="n">
        <v>5</v>
      </c>
      <c r="AD856" t="n">
        <v>16</v>
      </c>
      <c r="AE856" t="n">
        <v>16</v>
      </c>
      <c r="AF856" t="n">
        <v>3</v>
      </c>
      <c r="AG856" t="n">
        <v>3</v>
      </c>
      <c r="AH856" t="n">
        <v>3</v>
      </c>
      <c r="AI856" t="n">
        <v>3</v>
      </c>
      <c r="AJ856" t="n">
        <v>8</v>
      </c>
      <c r="AK856" t="n">
        <v>8</v>
      </c>
      <c r="AL856" t="n">
        <v>4</v>
      </c>
      <c r="AM856" t="n">
        <v>4</v>
      </c>
      <c r="AN856" t="n">
        <v>0</v>
      </c>
      <c r="AO856" t="n">
        <v>0</v>
      </c>
      <c r="AP856" t="inlineStr">
        <is>
          <t>No</t>
        </is>
      </c>
      <c r="AQ856" t="inlineStr">
        <is>
          <t>Yes</t>
        </is>
      </c>
      <c r="AR856">
        <f>HYPERLINK("http://catalog.hathitrust.org/Record/001113829","HathiTrust Record")</f>
        <v/>
      </c>
      <c r="AS856">
        <f>HYPERLINK("https://creighton-primo.hosted.exlibrisgroup.com/primo-explore/search?tab=default_tab&amp;search_scope=EVERYTHING&amp;vid=01CRU&amp;lang=en_US&amp;offset=0&amp;query=any,contains,991002959029702656","Catalog Record")</f>
        <v/>
      </c>
      <c r="AT856">
        <f>HYPERLINK("http://www.worldcat.org/oclc/543230","WorldCat Record")</f>
        <v/>
      </c>
      <c r="AU856" t="inlineStr">
        <is>
          <t>307883557:eng</t>
        </is>
      </c>
      <c r="AV856" t="inlineStr">
        <is>
          <t>543230</t>
        </is>
      </c>
      <c r="AW856" t="inlineStr">
        <is>
          <t>991002959029702656</t>
        </is>
      </c>
      <c r="AX856" t="inlineStr">
        <is>
          <t>991002959029702656</t>
        </is>
      </c>
      <c r="AY856" t="inlineStr">
        <is>
          <t>2265485060002656</t>
        </is>
      </c>
      <c r="AZ856" t="inlineStr">
        <is>
          <t>BOOK</t>
        </is>
      </c>
      <c r="BC856" t="inlineStr">
        <is>
          <t>32285001689560</t>
        </is>
      </c>
      <c r="BD856" t="inlineStr">
        <is>
          <t>893704729</t>
        </is>
      </c>
    </row>
    <row r="857">
      <c r="A857" t="inlineStr">
        <is>
          <t>No</t>
        </is>
      </c>
      <c r="B857" t="inlineStr">
        <is>
          <t>QD411 .E36</t>
        </is>
      </c>
      <c r="C857" t="inlineStr">
        <is>
          <t>0                      QD 0411000E  36</t>
        </is>
      </c>
      <c r="D857" t="inlineStr">
        <is>
          <t>Nontransition-metal compounds / by John J. Eisch.</t>
        </is>
      </c>
      <c r="F857" t="inlineStr">
        <is>
          <t>No</t>
        </is>
      </c>
      <c r="G857" t="inlineStr">
        <is>
          <t>1</t>
        </is>
      </c>
      <c r="H857" t="inlineStr">
        <is>
          <t>No</t>
        </is>
      </c>
      <c r="I857" t="inlineStr">
        <is>
          <t>No</t>
        </is>
      </c>
      <c r="J857" t="inlineStr">
        <is>
          <t>0</t>
        </is>
      </c>
      <c r="K857" t="inlineStr">
        <is>
          <t>Eisch, John J.</t>
        </is>
      </c>
      <c r="L857" t="inlineStr">
        <is>
          <t>New York : Academic Press, 1981.</t>
        </is>
      </c>
      <c r="M857" t="inlineStr">
        <is>
          <t>1981</t>
        </is>
      </c>
      <c r="O857" t="inlineStr">
        <is>
          <t>eng</t>
        </is>
      </c>
      <c r="P857" t="inlineStr">
        <is>
          <t>nyu</t>
        </is>
      </c>
      <c r="Q857" t="inlineStr">
        <is>
          <t>Organometallic synthesis ; v. 2</t>
        </is>
      </c>
      <c r="R857" t="inlineStr">
        <is>
          <t xml:space="preserve">QD </t>
        </is>
      </c>
      <c r="S857" t="n">
        <v>1</v>
      </c>
      <c r="T857" t="n">
        <v>1</v>
      </c>
      <c r="U857" t="inlineStr">
        <is>
          <t>1997-05-06</t>
        </is>
      </c>
      <c r="V857" t="inlineStr">
        <is>
          <t>1997-05-06</t>
        </is>
      </c>
      <c r="W857" t="inlineStr">
        <is>
          <t>1993-02-01</t>
        </is>
      </c>
      <c r="X857" t="inlineStr">
        <is>
          <t>1993-02-01</t>
        </is>
      </c>
      <c r="Y857" t="n">
        <v>264</v>
      </c>
      <c r="Z857" t="n">
        <v>205</v>
      </c>
      <c r="AA857" t="n">
        <v>223</v>
      </c>
      <c r="AB857" t="n">
        <v>1</v>
      </c>
      <c r="AC857" t="n">
        <v>1</v>
      </c>
      <c r="AD857" t="n">
        <v>9</v>
      </c>
      <c r="AE857" t="n">
        <v>9</v>
      </c>
      <c r="AF857" t="n">
        <v>3</v>
      </c>
      <c r="AG857" t="n">
        <v>3</v>
      </c>
      <c r="AH857" t="n">
        <v>4</v>
      </c>
      <c r="AI857" t="n">
        <v>4</v>
      </c>
      <c r="AJ857" t="n">
        <v>6</v>
      </c>
      <c r="AK857" t="n">
        <v>6</v>
      </c>
      <c r="AL857" t="n">
        <v>0</v>
      </c>
      <c r="AM857" t="n">
        <v>0</v>
      </c>
      <c r="AN857" t="n">
        <v>0</v>
      </c>
      <c r="AO857" t="n">
        <v>0</v>
      </c>
      <c r="AP857" t="inlineStr">
        <is>
          <t>No</t>
        </is>
      </c>
      <c r="AQ857" t="inlineStr">
        <is>
          <t>No</t>
        </is>
      </c>
      <c r="AS857">
        <f>HYPERLINK("https://creighton-primo.hosted.exlibrisgroup.com/primo-explore/search?tab=default_tab&amp;search_scope=EVERYTHING&amp;vid=01CRU&amp;lang=en_US&amp;offset=0&amp;query=any,contains,991005070039702656","Catalog Record")</f>
        <v/>
      </c>
      <c r="AT857">
        <f>HYPERLINK("http://www.worldcat.org/oclc/7006789","WorldCat Record")</f>
        <v/>
      </c>
      <c r="AU857" t="inlineStr">
        <is>
          <t>10677981292:eng</t>
        </is>
      </c>
      <c r="AV857" t="inlineStr">
        <is>
          <t>7006789</t>
        </is>
      </c>
      <c r="AW857" t="inlineStr">
        <is>
          <t>991005070039702656</t>
        </is>
      </c>
      <c r="AX857" t="inlineStr">
        <is>
          <t>991005070039702656</t>
        </is>
      </c>
      <c r="AY857" t="inlineStr">
        <is>
          <t>2267903280002656</t>
        </is>
      </c>
      <c r="AZ857" t="inlineStr">
        <is>
          <t>BOOK</t>
        </is>
      </c>
      <c r="BB857" t="inlineStr">
        <is>
          <t>9780122349508</t>
        </is>
      </c>
      <c r="BC857" t="inlineStr">
        <is>
          <t>32285001516516</t>
        </is>
      </c>
      <c r="BD857" t="inlineStr">
        <is>
          <t>893338447</t>
        </is>
      </c>
    </row>
    <row r="858">
      <c r="A858" t="inlineStr">
        <is>
          <t>No</t>
        </is>
      </c>
      <c r="B858" t="inlineStr">
        <is>
          <t>QD411 .E4413 2006</t>
        </is>
      </c>
      <c r="C858" t="inlineStr">
        <is>
          <t>0                      QD 0411000E  4413        2006</t>
        </is>
      </c>
      <c r="D858" t="inlineStr">
        <is>
          <t>Organometallics.</t>
        </is>
      </c>
      <c r="F858" t="inlineStr">
        <is>
          <t>No</t>
        </is>
      </c>
      <c r="G858" t="inlineStr">
        <is>
          <t>1</t>
        </is>
      </c>
      <c r="H858" t="inlineStr">
        <is>
          <t>No</t>
        </is>
      </c>
      <c r="I858" t="inlineStr">
        <is>
          <t>No</t>
        </is>
      </c>
      <c r="J858" t="inlineStr">
        <is>
          <t>0</t>
        </is>
      </c>
      <c r="K858" t="inlineStr">
        <is>
          <t>Elschenbroich, Christoph, 1939-</t>
        </is>
      </c>
      <c r="L858" t="inlineStr">
        <is>
          <t>Weinheim : Wiley-VCH, c2006.</t>
        </is>
      </c>
      <c r="M858" t="inlineStr">
        <is>
          <t>2006</t>
        </is>
      </c>
      <c r="N858" t="inlineStr">
        <is>
          <t>3rd, completely rev. and extended ed. / Christoph Elschenbroich ; translated by José Oliveira and Christoph Elschenbroich.</t>
        </is>
      </c>
      <c r="O858" t="inlineStr">
        <is>
          <t>eng</t>
        </is>
      </c>
      <c r="P858" t="inlineStr">
        <is>
          <t xml:space="preserve">gw </t>
        </is>
      </c>
      <c r="R858" t="inlineStr">
        <is>
          <t xml:space="preserve">QD </t>
        </is>
      </c>
      <c r="S858" t="n">
        <v>1</v>
      </c>
      <c r="T858" t="n">
        <v>1</v>
      </c>
      <c r="U858" t="inlineStr">
        <is>
          <t>2007-03-05</t>
        </is>
      </c>
      <c r="V858" t="inlineStr">
        <is>
          <t>2007-03-05</t>
        </is>
      </c>
      <c r="W858" t="inlineStr">
        <is>
          <t>2007-03-05</t>
        </is>
      </c>
      <c r="X858" t="inlineStr">
        <is>
          <t>2007-03-05</t>
        </is>
      </c>
      <c r="Y858" t="n">
        <v>437</v>
      </c>
      <c r="Z858" t="n">
        <v>312</v>
      </c>
      <c r="AA858" t="n">
        <v>329</v>
      </c>
      <c r="AB858" t="n">
        <v>4</v>
      </c>
      <c r="AC858" t="n">
        <v>4</v>
      </c>
      <c r="AD858" t="n">
        <v>25</v>
      </c>
      <c r="AE858" t="n">
        <v>25</v>
      </c>
      <c r="AF858" t="n">
        <v>7</v>
      </c>
      <c r="AG858" t="n">
        <v>7</v>
      </c>
      <c r="AH858" t="n">
        <v>6</v>
      </c>
      <c r="AI858" t="n">
        <v>6</v>
      </c>
      <c r="AJ858" t="n">
        <v>15</v>
      </c>
      <c r="AK858" t="n">
        <v>15</v>
      </c>
      <c r="AL858" t="n">
        <v>3</v>
      </c>
      <c r="AM858" t="n">
        <v>3</v>
      </c>
      <c r="AN858" t="n">
        <v>0</v>
      </c>
      <c r="AO858" t="n">
        <v>0</v>
      </c>
      <c r="AP858" t="inlineStr">
        <is>
          <t>No</t>
        </is>
      </c>
      <c r="AQ858" t="inlineStr">
        <is>
          <t>Yes</t>
        </is>
      </c>
      <c r="AR858">
        <f>HYPERLINK("http://catalog.hathitrust.org/Record/009464542","HathiTrust Record")</f>
        <v/>
      </c>
      <c r="AS858">
        <f>HYPERLINK("https://creighton-primo.hosted.exlibrisgroup.com/primo-explore/search?tab=default_tab&amp;search_scope=EVERYTHING&amp;vid=01CRU&amp;lang=en_US&amp;offset=0&amp;query=any,contains,991005037309702656","Catalog Record")</f>
        <v/>
      </c>
      <c r="AT858">
        <f>HYPERLINK("http://www.worldcat.org/oclc/64305455","WorldCat Record")</f>
        <v/>
      </c>
      <c r="AU858" t="inlineStr">
        <is>
          <t>10200964013:eng</t>
        </is>
      </c>
      <c r="AV858" t="inlineStr">
        <is>
          <t>64305455</t>
        </is>
      </c>
      <c r="AW858" t="inlineStr">
        <is>
          <t>991005037309702656</t>
        </is>
      </c>
      <c r="AX858" t="inlineStr">
        <is>
          <t>991005037309702656</t>
        </is>
      </c>
      <c r="AY858" t="inlineStr">
        <is>
          <t>2270328340002656</t>
        </is>
      </c>
      <c r="AZ858" t="inlineStr">
        <is>
          <t>BOOK</t>
        </is>
      </c>
      <c r="BB858" t="inlineStr">
        <is>
          <t>9783527293902</t>
        </is>
      </c>
      <c r="BC858" t="inlineStr">
        <is>
          <t>32285005279608</t>
        </is>
      </c>
      <c r="BD858" t="inlineStr">
        <is>
          <t>893719681</t>
        </is>
      </c>
    </row>
    <row r="859">
      <c r="A859" t="inlineStr">
        <is>
          <t>No</t>
        </is>
      </c>
      <c r="B859" t="inlineStr">
        <is>
          <t>QD411 .M38</t>
        </is>
      </c>
      <c r="C859" t="inlineStr">
        <is>
          <t>0                      QD 0411000M  38</t>
        </is>
      </c>
      <c r="D859" t="inlineStr">
        <is>
          <t>Chemistry of the metal chelate compounds / [by] Arthur E. Martell [and] Melvin Calvin.</t>
        </is>
      </c>
      <c r="F859" t="inlineStr">
        <is>
          <t>No</t>
        </is>
      </c>
      <c r="G859" t="inlineStr">
        <is>
          <t>1</t>
        </is>
      </c>
      <c r="H859" t="inlineStr">
        <is>
          <t>No</t>
        </is>
      </c>
      <c r="I859" t="inlineStr">
        <is>
          <t>No</t>
        </is>
      </c>
      <c r="J859" t="inlineStr">
        <is>
          <t>0</t>
        </is>
      </c>
      <c r="K859" t="inlineStr">
        <is>
          <t>Martell, Arthur E. (Arthur Earl), 1916-2003.</t>
        </is>
      </c>
      <c r="L859" t="inlineStr">
        <is>
          <t>New York : Prentice-Hall, 1952.</t>
        </is>
      </c>
      <c r="M859" t="inlineStr">
        <is>
          <t>1952</t>
        </is>
      </c>
      <c r="O859" t="inlineStr">
        <is>
          <t>eng</t>
        </is>
      </c>
      <c r="P859" t="inlineStr">
        <is>
          <t>nyu</t>
        </is>
      </c>
      <c r="Q859" t="inlineStr">
        <is>
          <t>Prentice-Hall chemistry series</t>
        </is>
      </c>
      <c r="R859" t="inlineStr">
        <is>
          <t xml:space="preserve">QD </t>
        </is>
      </c>
      <c r="S859" t="n">
        <v>3</v>
      </c>
      <c r="T859" t="n">
        <v>3</v>
      </c>
      <c r="U859" t="inlineStr">
        <is>
          <t>1993-10-27</t>
        </is>
      </c>
      <c r="V859" t="inlineStr">
        <is>
          <t>1993-10-27</t>
        </is>
      </c>
      <c r="W859" t="inlineStr">
        <is>
          <t>1992-02-11</t>
        </is>
      </c>
      <c r="X859" t="inlineStr">
        <is>
          <t>1992-02-11</t>
        </is>
      </c>
      <c r="Y859" t="n">
        <v>633</v>
      </c>
      <c r="Z859" t="n">
        <v>527</v>
      </c>
      <c r="AA859" t="n">
        <v>563</v>
      </c>
      <c r="AB859" t="n">
        <v>5</v>
      </c>
      <c r="AC859" t="n">
        <v>5</v>
      </c>
      <c r="AD859" t="n">
        <v>23</v>
      </c>
      <c r="AE859" t="n">
        <v>25</v>
      </c>
      <c r="AF859" t="n">
        <v>7</v>
      </c>
      <c r="AG859" t="n">
        <v>8</v>
      </c>
      <c r="AH859" t="n">
        <v>5</v>
      </c>
      <c r="AI859" t="n">
        <v>6</v>
      </c>
      <c r="AJ859" t="n">
        <v>12</v>
      </c>
      <c r="AK859" t="n">
        <v>13</v>
      </c>
      <c r="AL859" t="n">
        <v>4</v>
      </c>
      <c r="AM859" t="n">
        <v>4</v>
      </c>
      <c r="AN859" t="n">
        <v>0</v>
      </c>
      <c r="AO859" t="n">
        <v>0</v>
      </c>
      <c r="AP859" t="inlineStr">
        <is>
          <t>No</t>
        </is>
      </c>
      <c r="AQ859" t="inlineStr">
        <is>
          <t>Yes</t>
        </is>
      </c>
      <c r="AR859">
        <f>HYPERLINK("http://catalog.hathitrust.org/Record/001113830","HathiTrust Record")</f>
        <v/>
      </c>
      <c r="AS859">
        <f>HYPERLINK("https://creighton-primo.hosted.exlibrisgroup.com/primo-explore/search?tab=default_tab&amp;search_scope=EVERYTHING&amp;vid=01CRU&amp;lang=en_US&amp;offset=0&amp;query=any,contains,991002978419702656","Catalog Record")</f>
        <v/>
      </c>
      <c r="AT859">
        <f>HYPERLINK("http://www.worldcat.org/oclc/553351","WorldCat Record")</f>
        <v/>
      </c>
      <c r="AU859" t="inlineStr">
        <is>
          <t>1603383:eng</t>
        </is>
      </c>
      <c r="AV859" t="inlineStr">
        <is>
          <t>553351</t>
        </is>
      </c>
      <c r="AW859" t="inlineStr">
        <is>
          <t>991002978419702656</t>
        </is>
      </c>
      <c r="AX859" t="inlineStr">
        <is>
          <t>991002978419702656</t>
        </is>
      </c>
      <c r="AY859" t="inlineStr">
        <is>
          <t>2258964140002656</t>
        </is>
      </c>
      <c r="AZ859" t="inlineStr">
        <is>
          <t>BOOK</t>
        </is>
      </c>
      <c r="BC859" t="inlineStr">
        <is>
          <t>32285000954858</t>
        </is>
      </c>
      <c r="BD859" t="inlineStr">
        <is>
          <t>893786831</t>
        </is>
      </c>
    </row>
    <row r="860">
      <c r="A860" t="inlineStr">
        <is>
          <t>No</t>
        </is>
      </c>
      <c r="B860" t="inlineStr">
        <is>
          <t>QD411 .Z37</t>
        </is>
      </c>
      <c r="C860" t="inlineStr">
        <is>
          <t>0                      QD 0411000Z  37</t>
        </is>
      </c>
      <c r="D860" t="inlineStr">
        <is>
          <t>Benzenoid-metal complexes; structural determinations and chemistry [by] H. Zeiss, P.J. Wheatley [and] H.J.S. Winkler.</t>
        </is>
      </c>
      <c r="F860" t="inlineStr">
        <is>
          <t>No</t>
        </is>
      </c>
      <c r="G860" t="inlineStr">
        <is>
          <t>1</t>
        </is>
      </c>
      <c r="H860" t="inlineStr">
        <is>
          <t>No</t>
        </is>
      </c>
      <c r="I860" t="inlineStr">
        <is>
          <t>No</t>
        </is>
      </c>
      <c r="J860" t="inlineStr">
        <is>
          <t>0</t>
        </is>
      </c>
      <c r="K860" t="inlineStr">
        <is>
          <t>Zeiss, H. (Harold)</t>
        </is>
      </c>
      <c r="L860" t="inlineStr">
        <is>
          <t>New York, Ronald Press Co. [1966]</t>
        </is>
      </c>
      <c r="M860" t="inlineStr">
        <is>
          <t>1966</t>
        </is>
      </c>
      <c r="O860" t="inlineStr">
        <is>
          <t>eng</t>
        </is>
      </c>
      <c r="P860" t="inlineStr">
        <is>
          <t>nyu</t>
        </is>
      </c>
      <c r="Q860" t="inlineStr">
        <is>
          <t>Modern concepts in chemistry</t>
        </is>
      </c>
      <c r="R860" t="inlineStr">
        <is>
          <t xml:space="preserve">QD </t>
        </is>
      </c>
      <c r="S860" t="n">
        <v>1</v>
      </c>
      <c r="T860" t="n">
        <v>1</v>
      </c>
      <c r="U860" t="inlineStr">
        <is>
          <t>1997-10-08</t>
        </is>
      </c>
      <c r="V860" t="inlineStr">
        <is>
          <t>1997-10-08</t>
        </is>
      </c>
      <c r="W860" t="inlineStr">
        <is>
          <t>1997-10-07</t>
        </is>
      </c>
      <c r="X860" t="inlineStr">
        <is>
          <t>1997-10-07</t>
        </is>
      </c>
      <c r="Y860" t="n">
        <v>319</v>
      </c>
      <c r="Z860" t="n">
        <v>263</v>
      </c>
      <c r="AA860" t="n">
        <v>271</v>
      </c>
      <c r="AB860" t="n">
        <v>2</v>
      </c>
      <c r="AC860" t="n">
        <v>2</v>
      </c>
      <c r="AD860" t="n">
        <v>17</v>
      </c>
      <c r="AE860" t="n">
        <v>17</v>
      </c>
      <c r="AF860" t="n">
        <v>4</v>
      </c>
      <c r="AG860" t="n">
        <v>4</v>
      </c>
      <c r="AH860" t="n">
        <v>4</v>
      </c>
      <c r="AI860" t="n">
        <v>4</v>
      </c>
      <c r="AJ860" t="n">
        <v>11</v>
      </c>
      <c r="AK860" t="n">
        <v>11</v>
      </c>
      <c r="AL860" t="n">
        <v>1</v>
      </c>
      <c r="AM860" t="n">
        <v>1</v>
      </c>
      <c r="AN860" t="n">
        <v>0</v>
      </c>
      <c r="AO860" t="n">
        <v>0</v>
      </c>
      <c r="AP860" t="inlineStr">
        <is>
          <t>No</t>
        </is>
      </c>
      <c r="AQ860" t="inlineStr">
        <is>
          <t>Yes</t>
        </is>
      </c>
      <c r="AR860">
        <f>HYPERLINK("http://catalog.hathitrust.org/Record/001034103","HathiTrust Record")</f>
        <v/>
      </c>
      <c r="AS860">
        <f>HYPERLINK("https://creighton-primo.hosted.exlibrisgroup.com/primo-explore/search?tab=default_tab&amp;search_scope=EVERYTHING&amp;vid=01CRU&amp;lang=en_US&amp;offset=0&amp;query=any,contains,991002965529702656","Catalog Record")</f>
        <v/>
      </c>
      <c r="AT860">
        <f>HYPERLINK("http://www.worldcat.org/oclc/545590","WorldCat Record")</f>
        <v/>
      </c>
      <c r="AU860" t="inlineStr">
        <is>
          <t>366328337:eng</t>
        </is>
      </c>
      <c r="AV860" t="inlineStr">
        <is>
          <t>545590</t>
        </is>
      </c>
      <c r="AW860" t="inlineStr">
        <is>
          <t>991002965529702656</t>
        </is>
      </c>
      <c r="AX860" t="inlineStr">
        <is>
          <t>991002965529702656</t>
        </is>
      </c>
      <c r="AY860" t="inlineStr">
        <is>
          <t>2264385550002656</t>
        </is>
      </c>
      <c r="AZ860" t="inlineStr">
        <is>
          <t>BOOK</t>
        </is>
      </c>
      <c r="BC860" t="inlineStr">
        <is>
          <t>32285003255097</t>
        </is>
      </c>
      <c r="BD860" t="inlineStr">
        <is>
          <t>893598112</t>
        </is>
      </c>
    </row>
    <row r="861">
      <c r="A861" t="inlineStr">
        <is>
          <t>No</t>
        </is>
      </c>
      <c r="B861" t="inlineStr">
        <is>
          <t>QD411.7.S94 M33 2003</t>
        </is>
      </c>
      <c r="C861" t="inlineStr">
        <is>
          <t>0                      QD 0411700S  94                 M  33          2003</t>
        </is>
      </c>
      <c r="D861" t="inlineStr">
        <is>
          <t>Main group metals in organic synthesis / edited by Hisahi Yamamoto and Koichiro Oshima.</t>
        </is>
      </c>
      <c r="E861" t="inlineStr">
        <is>
          <t>V. 2</t>
        </is>
      </c>
      <c r="F861" t="inlineStr">
        <is>
          <t>Yes</t>
        </is>
      </c>
      <c r="G861" t="inlineStr">
        <is>
          <t>1</t>
        </is>
      </c>
      <c r="H861" t="inlineStr">
        <is>
          <t>No</t>
        </is>
      </c>
      <c r="I861" t="inlineStr">
        <is>
          <t>No</t>
        </is>
      </c>
      <c r="J861" t="inlineStr">
        <is>
          <t>0</t>
        </is>
      </c>
      <c r="L861" t="inlineStr">
        <is>
          <t>Weinheim, Germany : Wiley-VCH, 2003.</t>
        </is>
      </c>
      <c r="M861" t="inlineStr">
        <is>
          <t>2003</t>
        </is>
      </c>
      <c r="O861" t="inlineStr">
        <is>
          <t>eng</t>
        </is>
      </c>
      <c r="P861" t="inlineStr">
        <is>
          <t xml:space="preserve">gw </t>
        </is>
      </c>
      <c r="R861" t="inlineStr">
        <is>
          <t xml:space="preserve">QD </t>
        </is>
      </c>
      <c r="S861" t="n">
        <v>2</v>
      </c>
      <c r="T861" t="n">
        <v>3</v>
      </c>
      <c r="U861" t="inlineStr">
        <is>
          <t>2005-04-24</t>
        </is>
      </c>
      <c r="V861" t="inlineStr">
        <is>
          <t>2005-04-24</t>
        </is>
      </c>
      <c r="W861" t="inlineStr">
        <is>
          <t>2004-05-11</t>
        </is>
      </c>
      <c r="X861" t="inlineStr">
        <is>
          <t>2004-05-11</t>
        </is>
      </c>
      <c r="Y861" t="n">
        <v>91</v>
      </c>
      <c r="Z861" t="n">
        <v>71</v>
      </c>
      <c r="AA861" t="n">
        <v>176</v>
      </c>
      <c r="AB861" t="n">
        <v>2</v>
      </c>
      <c r="AC861" t="n">
        <v>2</v>
      </c>
      <c r="AD861" t="n">
        <v>5</v>
      </c>
      <c r="AE861" t="n">
        <v>5</v>
      </c>
      <c r="AF861" t="n">
        <v>1</v>
      </c>
      <c r="AG861" t="n">
        <v>1</v>
      </c>
      <c r="AH861" t="n">
        <v>1</v>
      </c>
      <c r="AI861" t="n">
        <v>1</v>
      </c>
      <c r="AJ861" t="n">
        <v>4</v>
      </c>
      <c r="AK861" t="n">
        <v>4</v>
      </c>
      <c r="AL861" t="n">
        <v>1</v>
      </c>
      <c r="AM861" t="n">
        <v>1</v>
      </c>
      <c r="AN861" t="n">
        <v>0</v>
      </c>
      <c r="AO861" t="n">
        <v>0</v>
      </c>
      <c r="AP861" t="inlineStr">
        <is>
          <t>No</t>
        </is>
      </c>
      <c r="AQ861" t="inlineStr">
        <is>
          <t>Yes</t>
        </is>
      </c>
      <c r="AR861">
        <f>HYPERLINK("http://catalog.hathitrust.org/Record/004379349","HathiTrust Record")</f>
        <v/>
      </c>
      <c r="AS861">
        <f>HYPERLINK("https://creighton-primo.hosted.exlibrisgroup.com/primo-explore/search?tab=default_tab&amp;search_scope=EVERYTHING&amp;vid=01CRU&amp;lang=en_US&amp;offset=0&amp;query=any,contains,991004243219702656","Catalog Record")</f>
        <v/>
      </c>
      <c r="AT861">
        <f>HYPERLINK("http://www.worldcat.org/oclc/51992515","WorldCat Record")</f>
        <v/>
      </c>
      <c r="AU861" t="inlineStr">
        <is>
          <t>1044576142:eng</t>
        </is>
      </c>
      <c r="AV861" t="inlineStr">
        <is>
          <t>51992515</t>
        </is>
      </c>
      <c r="AW861" t="inlineStr">
        <is>
          <t>991004243219702656</t>
        </is>
      </c>
      <c r="AX861" t="inlineStr">
        <is>
          <t>991004243219702656</t>
        </is>
      </c>
      <c r="AY861" t="inlineStr">
        <is>
          <t>2267557500002656</t>
        </is>
      </c>
      <c r="AZ861" t="inlineStr">
        <is>
          <t>BOOK</t>
        </is>
      </c>
      <c r="BB861" t="inlineStr">
        <is>
          <t>9783527305087</t>
        </is>
      </c>
      <c r="BC861" t="inlineStr">
        <is>
          <t>32285004904594</t>
        </is>
      </c>
      <c r="BD861" t="inlineStr">
        <is>
          <t>893318971</t>
        </is>
      </c>
    </row>
    <row r="862">
      <c r="A862" t="inlineStr">
        <is>
          <t>No</t>
        </is>
      </c>
      <c r="B862" t="inlineStr">
        <is>
          <t>QD411.7.S94 M33 2003</t>
        </is>
      </c>
      <c r="C862" t="inlineStr">
        <is>
          <t>0                      QD 0411700S  94                 M  33          2003</t>
        </is>
      </c>
      <c r="D862" t="inlineStr">
        <is>
          <t>Main group metals in organic synthesis / edited by Hisahi Yamamoto and Koichiro Oshima.</t>
        </is>
      </c>
      <c r="E862" t="inlineStr">
        <is>
          <t>V. 1</t>
        </is>
      </c>
      <c r="F862" t="inlineStr">
        <is>
          <t>Yes</t>
        </is>
      </c>
      <c r="G862" t="inlineStr">
        <is>
          <t>1</t>
        </is>
      </c>
      <c r="H862" t="inlineStr">
        <is>
          <t>No</t>
        </is>
      </c>
      <c r="I862" t="inlineStr">
        <is>
          <t>No</t>
        </is>
      </c>
      <c r="J862" t="inlineStr">
        <is>
          <t>0</t>
        </is>
      </c>
      <c r="L862" t="inlineStr">
        <is>
          <t>Weinheim, Germany : Wiley-VCH, 2003.</t>
        </is>
      </c>
      <c r="M862" t="inlineStr">
        <is>
          <t>2003</t>
        </is>
      </c>
      <c r="O862" t="inlineStr">
        <is>
          <t>eng</t>
        </is>
      </c>
      <c r="P862" t="inlineStr">
        <is>
          <t xml:space="preserve">gw </t>
        </is>
      </c>
      <c r="R862" t="inlineStr">
        <is>
          <t xml:space="preserve">QD </t>
        </is>
      </c>
      <c r="S862" t="n">
        <v>1</v>
      </c>
      <c r="T862" t="n">
        <v>3</v>
      </c>
      <c r="U862" t="inlineStr">
        <is>
          <t>2004-05-11</t>
        </is>
      </c>
      <c r="V862" t="inlineStr">
        <is>
          <t>2005-04-24</t>
        </is>
      </c>
      <c r="W862" t="inlineStr">
        <is>
          <t>2004-05-11</t>
        </is>
      </c>
      <c r="X862" t="inlineStr">
        <is>
          <t>2004-05-11</t>
        </is>
      </c>
      <c r="Y862" t="n">
        <v>91</v>
      </c>
      <c r="Z862" t="n">
        <v>71</v>
      </c>
      <c r="AA862" t="n">
        <v>176</v>
      </c>
      <c r="AB862" t="n">
        <v>2</v>
      </c>
      <c r="AC862" t="n">
        <v>2</v>
      </c>
      <c r="AD862" t="n">
        <v>5</v>
      </c>
      <c r="AE862" t="n">
        <v>5</v>
      </c>
      <c r="AF862" t="n">
        <v>1</v>
      </c>
      <c r="AG862" t="n">
        <v>1</v>
      </c>
      <c r="AH862" t="n">
        <v>1</v>
      </c>
      <c r="AI862" t="n">
        <v>1</v>
      </c>
      <c r="AJ862" t="n">
        <v>4</v>
      </c>
      <c r="AK862" t="n">
        <v>4</v>
      </c>
      <c r="AL862" t="n">
        <v>1</v>
      </c>
      <c r="AM862" t="n">
        <v>1</v>
      </c>
      <c r="AN862" t="n">
        <v>0</v>
      </c>
      <c r="AO862" t="n">
        <v>0</v>
      </c>
      <c r="AP862" t="inlineStr">
        <is>
          <t>No</t>
        </is>
      </c>
      <c r="AQ862" t="inlineStr">
        <is>
          <t>Yes</t>
        </is>
      </c>
      <c r="AR862">
        <f>HYPERLINK("http://catalog.hathitrust.org/Record/004379349","HathiTrust Record")</f>
        <v/>
      </c>
      <c r="AS862">
        <f>HYPERLINK("https://creighton-primo.hosted.exlibrisgroup.com/primo-explore/search?tab=default_tab&amp;search_scope=EVERYTHING&amp;vid=01CRU&amp;lang=en_US&amp;offset=0&amp;query=any,contains,991004243219702656","Catalog Record")</f>
        <v/>
      </c>
      <c r="AT862">
        <f>HYPERLINK("http://www.worldcat.org/oclc/51992515","WorldCat Record")</f>
        <v/>
      </c>
      <c r="AU862" t="inlineStr">
        <is>
          <t>1044576142:eng</t>
        </is>
      </c>
      <c r="AV862" t="inlineStr">
        <is>
          <t>51992515</t>
        </is>
      </c>
      <c r="AW862" t="inlineStr">
        <is>
          <t>991004243219702656</t>
        </is>
      </c>
      <c r="AX862" t="inlineStr">
        <is>
          <t>991004243219702656</t>
        </is>
      </c>
      <c r="AY862" t="inlineStr">
        <is>
          <t>2267557500002656</t>
        </is>
      </c>
      <c r="AZ862" t="inlineStr">
        <is>
          <t>BOOK</t>
        </is>
      </c>
      <c r="BB862" t="inlineStr">
        <is>
          <t>9783527305087</t>
        </is>
      </c>
      <c r="BC862" t="inlineStr">
        <is>
          <t>32285004904586</t>
        </is>
      </c>
      <c r="BD862" t="inlineStr">
        <is>
          <t>893318972</t>
        </is>
      </c>
    </row>
    <row r="863">
      <c r="A863" t="inlineStr">
        <is>
          <t>No</t>
        </is>
      </c>
      <c r="B863" t="inlineStr">
        <is>
          <t>QD411.8.T73 H55 2002</t>
        </is>
      </c>
      <c r="C863" t="inlineStr">
        <is>
          <t>0                      QD 0411800T  73                 H  55          2002</t>
        </is>
      </c>
      <c r="D863" t="inlineStr">
        <is>
          <t>Organotransition metal chemistry / Anthony F. Hill.</t>
        </is>
      </c>
      <c r="F863" t="inlineStr">
        <is>
          <t>No</t>
        </is>
      </c>
      <c r="G863" t="inlineStr">
        <is>
          <t>1</t>
        </is>
      </c>
      <c r="H863" t="inlineStr">
        <is>
          <t>No</t>
        </is>
      </c>
      <c r="I863" t="inlineStr">
        <is>
          <t>No</t>
        </is>
      </c>
      <c r="J863" t="inlineStr">
        <is>
          <t>0</t>
        </is>
      </c>
      <c r="K863" t="inlineStr">
        <is>
          <t>Hill, Anthony F.</t>
        </is>
      </c>
      <c r="L863" t="inlineStr">
        <is>
          <t>New York : Wiley-Interscience, c2002.</t>
        </is>
      </c>
      <c r="M863" t="inlineStr">
        <is>
          <t>2002</t>
        </is>
      </c>
      <c r="O863" t="inlineStr">
        <is>
          <t>eng</t>
        </is>
      </c>
      <c r="P863" t="inlineStr">
        <is>
          <t>nyu</t>
        </is>
      </c>
      <c r="Q863" t="inlineStr">
        <is>
          <t>Basic concepts in chemistry</t>
        </is>
      </c>
      <c r="R863" t="inlineStr">
        <is>
          <t xml:space="preserve">QD </t>
        </is>
      </c>
      <c r="S863" t="n">
        <v>1</v>
      </c>
      <c r="T863" t="n">
        <v>1</v>
      </c>
      <c r="U863" t="inlineStr">
        <is>
          <t>2003-11-17</t>
        </is>
      </c>
      <c r="V863" t="inlineStr">
        <is>
          <t>2003-11-17</t>
        </is>
      </c>
      <c r="W863" t="inlineStr">
        <is>
          <t>2003-11-17</t>
        </is>
      </c>
      <c r="X863" t="inlineStr">
        <is>
          <t>2003-11-17</t>
        </is>
      </c>
      <c r="Y863" t="n">
        <v>162</v>
      </c>
      <c r="Z863" t="n">
        <v>123</v>
      </c>
      <c r="AA863" t="n">
        <v>206</v>
      </c>
      <c r="AB863" t="n">
        <v>1</v>
      </c>
      <c r="AC863" t="n">
        <v>2</v>
      </c>
      <c r="AD863" t="n">
        <v>8</v>
      </c>
      <c r="AE863" t="n">
        <v>10</v>
      </c>
      <c r="AF863" t="n">
        <v>3</v>
      </c>
      <c r="AG863" t="n">
        <v>3</v>
      </c>
      <c r="AH863" t="n">
        <v>1</v>
      </c>
      <c r="AI863" t="n">
        <v>2</v>
      </c>
      <c r="AJ863" t="n">
        <v>5</v>
      </c>
      <c r="AK863" t="n">
        <v>6</v>
      </c>
      <c r="AL863" t="n">
        <v>0</v>
      </c>
      <c r="AM863" t="n">
        <v>1</v>
      </c>
      <c r="AN863" t="n">
        <v>0</v>
      </c>
      <c r="AO863" t="n">
        <v>0</v>
      </c>
      <c r="AP863" t="inlineStr">
        <is>
          <t>No</t>
        </is>
      </c>
      <c r="AQ863" t="inlineStr">
        <is>
          <t>No</t>
        </is>
      </c>
      <c r="AS863">
        <f>HYPERLINK("https://creighton-primo.hosted.exlibrisgroup.com/primo-explore/search?tab=default_tab&amp;search_scope=EVERYTHING&amp;vid=01CRU&amp;lang=en_US&amp;offset=0&amp;query=any,contains,991004183119702656","Catalog Record")</f>
        <v/>
      </c>
      <c r="AT863">
        <f>HYPERLINK("http://www.worldcat.org/oclc/51181581","WorldCat Record")</f>
        <v/>
      </c>
      <c r="AU863" t="inlineStr">
        <is>
          <t>906372:eng</t>
        </is>
      </c>
      <c r="AV863" t="inlineStr">
        <is>
          <t>51181581</t>
        </is>
      </c>
      <c r="AW863" t="inlineStr">
        <is>
          <t>991004183119702656</t>
        </is>
      </c>
      <c r="AX863" t="inlineStr">
        <is>
          <t>991004183119702656</t>
        </is>
      </c>
      <c r="AY863" t="inlineStr">
        <is>
          <t>2263893780002656</t>
        </is>
      </c>
      <c r="AZ863" t="inlineStr">
        <is>
          <t>BOOK</t>
        </is>
      </c>
      <c r="BB863" t="inlineStr">
        <is>
          <t>9780471281634</t>
        </is>
      </c>
      <c r="BC863" t="inlineStr">
        <is>
          <t>32285004798814</t>
        </is>
      </c>
      <c r="BD863" t="inlineStr">
        <is>
          <t>893593379</t>
        </is>
      </c>
    </row>
    <row r="864">
      <c r="A864" t="inlineStr">
        <is>
          <t>No</t>
        </is>
      </c>
      <c r="B864" t="inlineStr">
        <is>
          <t>QD412.B1 T56 1991</t>
        </is>
      </c>
      <c r="C864" t="inlineStr">
        <is>
          <t>0                      QD 0412000B  1                  T  56          1991</t>
        </is>
      </c>
      <c r="D864" t="inlineStr">
        <is>
          <t>Organic synthesis : the roles of boron and silicon / Susan E. Thomas.</t>
        </is>
      </c>
      <c r="F864" t="inlineStr">
        <is>
          <t>No</t>
        </is>
      </c>
      <c r="G864" t="inlineStr">
        <is>
          <t>1</t>
        </is>
      </c>
      <c r="H864" t="inlineStr">
        <is>
          <t>No</t>
        </is>
      </c>
      <c r="I864" t="inlineStr">
        <is>
          <t>No</t>
        </is>
      </c>
      <c r="J864" t="inlineStr">
        <is>
          <t>0</t>
        </is>
      </c>
      <c r="K864" t="inlineStr">
        <is>
          <t>Thomas, Susan E.</t>
        </is>
      </c>
      <c r="L864" t="inlineStr">
        <is>
          <t>Oxford ; New York : Oxford University Press, 1991.</t>
        </is>
      </c>
      <c r="M864" t="inlineStr">
        <is>
          <t>1991</t>
        </is>
      </c>
      <c r="O864" t="inlineStr">
        <is>
          <t>eng</t>
        </is>
      </c>
      <c r="P864" t="inlineStr">
        <is>
          <t>enk</t>
        </is>
      </c>
      <c r="Q864" t="inlineStr">
        <is>
          <t>Oxford chemistry primers ; 1</t>
        </is>
      </c>
      <c r="R864" t="inlineStr">
        <is>
          <t xml:space="preserve">QD </t>
        </is>
      </c>
      <c r="S864" t="n">
        <v>5</v>
      </c>
      <c r="T864" t="n">
        <v>5</v>
      </c>
      <c r="U864" t="inlineStr">
        <is>
          <t>1994-11-27</t>
        </is>
      </c>
      <c r="V864" t="inlineStr">
        <is>
          <t>1994-11-27</t>
        </is>
      </c>
      <c r="W864" t="inlineStr">
        <is>
          <t>1992-05-14</t>
        </is>
      </c>
      <c r="X864" t="inlineStr">
        <is>
          <t>1992-05-14</t>
        </is>
      </c>
      <c r="Y864" t="n">
        <v>478</v>
      </c>
      <c r="Z864" t="n">
        <v>379</v>
      </c>
      <c r="AA864" t="n">
        <v>1183</v>
      </c>
      <c r="AB864" t="n">
        <v>4</v>
      </c>
      <c r="AC864" t="n">
        <v>6</v>
      </c>
      <c r="AD864" t="n">
        <v>21</v>
      </c>
      <c r="AE864" t="n">
        <v>32</v>
      </c>
      <c r="AF864" t="n">
        <v>8</v>
      </c>
      <c r="AG864" t="n">
        <v>15</v>
      </c>
      <c r="AH864" t="n">
        <v>4</v>
      </c>
      <c r="AI864" t="n">
        <v>5</v>
      </c>
      <c r="AJ864" t="n">
        <v>12</v>
      </c>
      <c r="AK864" t="n">
        <v>16</v>
      </c>
      <c r="AL864" t="n">
        <v>3</v>
      </c>
      <c r="AM864" t="n">
        <v>4</v>
      </c>
      <c r="AN864" t="n">
        <v>0</v>
      </c>
      <c r="AO864" t="n">
        <v>0</v>
      </c>
      <c r="AP864" t="inlineStr">
        <is>
          <t>No</t>
        </is>
      </c>
      <c r="AQ864" t="inlineStr">
        <is>
          <t>No</t>
        </is>
      </c>
      <c r="AS864">
        <f>HYPERLINK("https://creighton-primo.hosted.exlibrisgroup.com/primo-explore/search?tab=default_tab&amp;search_scope=EVERYTHING&amp;vid=01CRU&amp;lang=en_US&amp;offset=0&amp;query=any,contains,991001882309702656","Catalog Record")</f>
        <v/>
      </c>
      <c r="AT864">
        <f>HYPERLINK("http://www.worldcat.org/oclc/23733553","WorldCat Record")</f>
        <v/>
      </c>
      <c r="AU864" t="inlineStr">
        <is>
          <t>354239836:eng</t>
        </is>
      </c>
      <c r="AV864" t="inlineStr">
        <is>
          <t>23733553</t>
        </is>
      </c>
      <c r="AW864" t="inlineStr">
        <is>
          <t>991001882309702656</t>
        </is>
      </c>
      <c r="AX864" t="inlineStr">
        <is>
          <t>991001882309702656</t>
        </is>
      </c>
      <c r="AY864" t="inlineStr">
        <is>
          <t>2267953110002656</t>
        </is>
      </c>
      <c r="AZ864" t="inlineStr">
        <is>
          <t>BOOK</t>
        </is>
      </c>
      <c r="BB864" t="inlineStr">
        <is>
          <t>9780198556633</t>
        </is>
      </c>
      <c r="BC864" t="inlineStr">
        <is>
          <t>32285001115269</t>
        </is>
      </c>
      <c r="BD864" t="inlineStr">
        <is>
          <t>893721184</t>
        </is>
      </c>
    </row>
    <row r="865">
      <c r="A865" t="inlineStr">
        <is>
          <t>No</t>
        </is>
      </c>
      <c r="B865" t="inlineStr">
        <is>
          <t>QD412.C9 M64 2002</t>
        </is>
      </c>
      <c r="C865" t="inlineStr">
        <is>
          <t>0                      QD 0412000C  9                  M  64          2002</t>
        </is>
      </c>
      <c r="D865" t="inlineStr">
        <is>
          <t>Modern organocopper chemistry / edited by Norbert Krause.</t>
        </is>
      </c>
      <c r="F865" t="inlineStr">
        <is>
          <t>No</t>
        </is>
      </c>
      <c r="G865" t="inlineStr">
        <is>
          <t>1</t>
        </is>
      </c>
      <c r="H865" t="inlineStr">
        <is>
          <t>No</t>
        </is>
      </c>
      <c r="I865" t="inlineStr">
        <is>
          <t>No</t>
        </is>
      </c>
      <c r="J865" t="inlineStr">
        <is>
          <t>0</t>
        </is>
      </c>
      <c r="L865" t="inlineStr">
        <is>
          <t>Weinheim : Wiley-VCH, 2002.</t>
        </is>
      </c>
      <c r="M865" t="inlineStr">
        <is>
          <t>2002</t>
        </is>
      </c>
      <c r="O865" t="inlineStr">
        <is>
          <t>eng</t>
        </is>
      </c>
      <c r="P865" t="inlineStr">
        <is>
          <t xml:space="preserve">gw </t>
        </is>
      </c>
      <c r="R865" t="inlineStr">
        <is>
          <t xml:space="preserve">QD </t>
        </is>
      </c>
      <c r="S865" t="n">
        <v>1</v>
      </c>
      <c r="T865" t="n">
        <v>1</v>
      </c>
      <c r="U865" t="inlineStr">
        <is>
          <t>2002-06-25</t>
        </is>
      </c>
      <c r="V865" t="inlineStr">
        <is>
          <t>2002-06-25</t>
        </is>
      </c>
      <c r="W865" t="inlineStr">
        <is>
          <t>2002-04-17</t>
        </is>
      </c>
      <c r="X865" t="inlineStr">
        <is>
          <t>2002-04-17</t>
        </is>
      </c>
      <c r="Y865" t="n">
        <v>237</v>
      </c>
      <c r="Z865" t="n">
        <v>160</v>
      </c>
      <c r="AA865" t="n">
        <v>202</v>
      </c>
      <c r="AB865" t="n">
        <v>2</v>
      </c>
      <c r="AC865" t="n">
        <v>2</v>
      </c>
      <c r="AD865" t="n">
        <v>8</v>
      </c>
      <c r="AE865" t="n">
        <v>8</v>
      </c>
      <c r="AF865" t="n">
        <v>1</v>
      </c>
      <c r="AG865" t="n">
        <v>1</v>
      </c>
      <c r="AH865" t="n">
        <v>3</v>
      </c>
      <c r="AI865" t="n">
        <v>3</v>
      </c>
      <c r="AJ865" t="n">
        <v>5</v>
      </c>
      <c r="AK865" t="n">
        <v>5</v>
      </c>
      <c r="AL865" t="n">
        <v>1</v>
      </c>
      <c r="AM865" t="n">
        <v>1</v>
      </c>
      <c r="AN865" t="n">
        <v>0</v>
      </c>
      <c r="AO865" t="n">
        <v>0</v>
      </c>
      <c r="AP865" t="inlineStr">
        <is>
          <t>No</t>
        </is>
      </c>
      <c r="AQ865" t="inlineStr">
        <is>
          <t>No</t>
        </is>
      </c>
      <c r="AS865">
        <f>HYPERLINK("https://creighton-primo.hosted.exlibrisgroup.com/primo-explore/search?tab=default_tab&amp;search_scope=EVERYTHING&amp;vid=01CRU&amp;lang=en_US&amp;offset=0&amp;query=any,contains,991003743399702656","Catalog Record")</f>
        <v/>
      </c>
      <c r="AT865">
        <f>HYPERLINK("http://www.worldcat.org/oclc/47676544","WorldCat Record")</f>
        <v/>
      </c>
      <c r="AU865" t="inlineStr">
        <is>
          <t>36880728:eng</t>
        </is>
      </c>
      <c r="AV865" t="inlineStr">
        <is>
          <t>47676544</t>
        </is>
      </c>
      <c r="AW865" t="inlineStr">
        <is>
          <t>991003743399702656</t>
        </is>
      </c>
      <c r="AX865" t="inlineStr">
        <is>
          <t>991003743399702656</t>
        </is>
      </c>
      <c r="AY865" t="inlineStr">
        <is>
          <t>2260782720002656</t>
        </is>
      </c>
      <c r="AZ865" t="inlineStr">
        <is>
          <t>BOOK</t>
        </is>
      </c>
      <c r="BB865" t="inlineStr">
        <is>
          <t>9783527297733</t>
        </is>
      </c>
      <c r="BC865" t="inlineStr">
        <is>
          <t>32285004481023</t>
        </is>
      </c>
      <c r="BD865" t="inlineStr">
        <is>
          <t>893598931</t>
        </is>
      </c>
    </row>
    <row r="866">
      <c r="A866" t="inlineStr">
        <is>
          <t>No</t>
        </is>
      </c>
      <c r="B866" t="inlineStr">
        <is>
          <t>QD412.M4 W35 1995</t>
        </is>
      </c>
      <c r="C866" t="inlineStr">
        <is>
          <t>0                      QD 0412000M  4                  W  35          1995</t>
        </is>
      </c>
      <c r="D866" t="inlineStr">
        <is>
          <t>Organomagnesium methods in organic synthesis / Basil J. Wakefield.</t>
        </is>
      </c>
      <c r="F866" t="inlineStr">
        <is>
          <t>No</t>
        </is>
      </c>
      <c r="G866" t="inlineStr">
        <is>
          <t>1</t>
        </is>
      </c>
      <c r="H866" t="inlineStr">
        <is>
          <t>No</t>
        </is>
      </c>
      <c r="I866" t="inlineStr">
        <is>
          <t>No</t>
        </is>
      </c>
      <c r="J866" t="inlineStr">
        <is>
          <t>0</t>
        </is>
      </c>
      <c r="K866" t="inlineStr">
        <is>
          <t>Wakefield, B. J. (Basil John), 1934-</t>
        </is>
      </c>
      <c r="L866" t="inlineStr">
        <is>
          <t>London ; San Diego : Academic Press, 1995</t>
        </is>
      </c>
      <c r="M866" t="inlineStr">
        <is>
          <t>1995</t>
        </is>
      </c>
      <c r="O866" t="inlineStr">
        <is>
          <t>eng</t>
        </is>
      </c>
      <c r="P866" t="inlineStr">
        <is>
          <t>enk</t>
        </is>
      </c>
      <c r="Q866" t="inlineStr">
        <is>
          <t>Best synthetic methods</t>
        </is>
      </c>
      <c r="R866" t="inlineStr">
        <is>
          <t xml:space="preserve">QD </t>
        </is>
      </c>
      <c r="S866" t="n">
        <v>3</v>
      </c>
      <c r="T866" t="n">
        <v>3</v>
      </c>
      <c r="U866" t="inlineStr">
        <is>
          <t>1996-03-04</t>
        </is>
      </c>
      <c r="V866" t="inlineStr">
        <is>
          <t>1996-03-04</t>
        </is>
      </c>
      <c r="W866" t="inlineStr">
        <is>
          <t>1995-07-29</t>
        </is>
      </c>
      <c r="X866" t="inlineStr">
        <is>
          <t>1995-07-29</t>
        </is>
      </c>
      <c r="Y866" t="n">
        <v>231</v>
      </c>
      <c r="Z866" t="n">
        <v>140</v>
      </c>
      <c r="AA866" t="n">
        <v>197</v>
      </c>
      <c r="AB866" t="n">
        <v>2</v>
      </c>
      <c r="AC866" t="n">
        <v>2</v>
      </c>
      <c r="AD866" t="n">
        <v>7</v>
      </c>
      <c r="AE866" t="n">
        <v>9</v>
      </c>
      <c r="AF866" t="n">
        <v>1</v>
      </c>
      <c r="AG866" t="n">
        <v>2</v>
      </c>
      <c r="AH866" t="n">
        <v>3</v>
      </c>
      <c r="AI866" t="n">
        <v>4</v>
      </c>
      <c r="AJ866" t="n">
        <v>5</v>
      </c>
      <c r="AK866" t="n">
        <v>5</v>
      </c>
      <c r="AL866" t="n">
        <v>1</v>
      </c>
      <c r="AM866" t="n">
        <v>1</v>
      </c>
      <c r="AN866" t="n">
        <v>0</v>
      </c>
      <c r="AO866" t="n">
        <v>0</v>
      </c>
      <c r="AP866" t="inlineStr">
        <is>
          <t>No</t>
        </is>
      </c>
      <c r="AQ866" t="inlineStr">
        <is>
          <t>Yes</t>
        </is>
      </c>
      <c r="AR866">
        <f>HYPERLINK("http://catalog.hathitrust.org/Record/002991373","HathiTrust Record")</f>
        <v/>
      </c>
      <c r="AS866">
        <f>HYPERLINK("https://creighton-primo.hosted.exlibrisgroup.com/primo-explore/search?tab=default_tab&amp;search_scope=EVERYTHING&amp;vid=01CRU&amp;lang=en_US&amp;offset=0&amp;query=any,contains,991002497589702656","Catalog Record")</f>
        <v/>
      </c>
      <c r="AT866">
        <f>HYPERLINK("http://www.worldcat.org/oclc/32498612","WorldCat Record")</f>
        <v/>
      </c>
      <c r="AU866" t="inlineStr">
        <is>
          <t>37147829:eng</t>
        </is>
      </c>
      <c r="AV866" t="inlineStr">
        <is>
          <t>32498612</t>
        </is>
      </c>
      <c r="AW866" t="inlineStr">
        <is>
          <t>991002497589702656</t>
        </is>
      </c>
      <c r="AX866" t="inlineStr">
        <is>
          <t>991002497589702656</t>
        </is>
      </c>
      <c r="AY866" t="inlineStr">
        <is>
          <t>2267154350002656</t>
        </is>
      </c>
      <c r="AZ866" t="inlineStr">
        <is>
          <t>BOOK</t>
        </is>
      </c>
      <c r="BB866" t="inlineStr">
        <is>
          <t>9780127309453</t>
        </is>
      </c>
      <c r="BC866" t="inlineStr">
        <is>
          <t>32285002076544</t>
        </is>
      </c>
      <c r="BD866" t="inlineStr">
        <is>
          <t>893415264</t>
        </is>
      </c>
    </row>
    <row r="867">
      <c r="A867" t="inlineStr">
        <is>
          <t>No</t>
        </is>
      </c>
      <c r="B867" t="inlineStr">
        <is>
          <t>QD412.S5 O733 1999</t>
        </is>
      </c>
      <c r="C867" t="inlineStr">
        <is>
          <t>0                      QD 0412000S  5                  O  733         1999</t>
        </is>
      </c>
      <c r="D867" t="inlineStr">
        <is>
          <t>Organoselenium chemistry : a practical approach / edited by Thomas G. Back.</t>
        </is>
      </c>
      <c r="F867" t="inlineStr">
        <is>
          <t>No</t>
        </is>
      </c>
      <c r="G867" t="inlineStr">
        <is>
          <t>1</t>
        </is>
      </c>
      <c r="H867" t="inlineStr">
        <is>
          <t>No</t>
        </is>
      </c>
      <c r="I867" t="inlineStr">
        <is>
          <t>No</t>
        </is>
      </c>
      <c r="J867" t="inlineStr">
        <is>
          <t>0</t>
        </is>
      </c>
      <c r="L867" t="inlineStr">
        <is>
          <t>New York : Oxford University Press, c1999.</t>
        </is>
      </c>
      <c r="M867" t="inlineStr">
        <is>
          <t>1999</t>
        </is>
      </c>
      <c r="O867" t="inlineStr">
        <is>
          <t>eng</t>
        </is>
      </c>
      <c r="P867" t="inlineStr">
        <is>
          <t>nyu</t>
        </is>
      </c>
      <c r="Q867" t="inlineStr">
        <is>
          <t>The practical approach in chemistry series</t>
        </is>
      </c>
      <c r="R867" t="inlineStr">
        <is>
          <t xml:space="preserve">QD </t>
        </is>
      </c>
      <c r="S867" t="n">
        <v>2</v>
      </c>
      <c r="T867" t="n">
        <v>2</v>
      </c>
      <c r="U867" t="inlineStr">
        <is>
          <t>2001-05-16</t>
        </is>
      </c>
      <c r="V867" t="inlineStr">
        <is>
          <t>2001-05-16</t>
        </is>
      </c>
      <c r="W867" t="inlineStr">
        <is>
          <t>2001-04-18</t>
        </is>
      </c>
      <c r="X867" t="inlineStr">
        <is>
          <t>2001-04-18</t>
        </is>
      </c>
      <c r="Y867" t="n">
        <v>166</v>
      </c>
      <c r="Z867" t="n">
        <v>123</v>
      </c>
      <c r="AA867" t="n">
        <v>124</v>
      </c>
      <c r="AB867" t="n">
        <v>1</v>
      </c>
      <c r="AC867" t="n">
        <v>1</v>
      </c>
      <c r="AD867" t="n">
        <v>4</v>
      </c>
      <c r="AE867" t="n">
        <v>4</v>
      </c>
      <c r="AF867" t="n">
        <v>1</v>
      </c>
      <c r="AG867" t="n">
        <v>1</v>
      </c>
      <c r="AH867" t="n">
        <v>2</v>
      </c>
      <c r="AI867" t="n">
        <v>2</v>
      </c>
      <c r="AJ867" t="n">
        <v>3</v>
      </c>
      <c r="AK867" t="n">
        <v>3</v>
      </c>
      <c r="AL867" t="n">
        <v>0</v>
      </c>
      <c r="AM867" t="n">
        <v>0</v>
      </c>
      <c r="AN867" t="n">
        <v>0</v>
      </c>
      <c r="AO867" t="n">
        <v>0</v>
      </c>
      <c r="AP867" t="inlineStr">
        <is>
          <t>No</t>
        </is>
      </c>
      <c r="AQ867" t="inlineStr">
        <is>
          <t>No</t>
        </is>
      </c>
      <c r="AS867">
        <f>HYPERLINK("https://creighton-primo.hosted.exlibrisgroup.com/primo-explore/search?tab=default_tab&amp;search_scope=EVERYTHING&amp;vid=01CRU&amp;lang=en_US&amp;offset=0&amp;query=any,contains,991003503149702656","Catalog Record")</f>
        <v/>
      </c>
      <c r="AT867">
        <f>HYPERLINK("http://www.worldcat.org/oclc/41173799","WorldCat Record")</f>
        <v/>
      </c>
      <c r="AU867" t="inlineStr">
        <is>
          <t>836974825:eng</t>
        </is>
      </c>
      <c r="AV867" t="inlineStr">
        <is>
          <t>41173799</t>
        </is>
      </c>
      <c r="AW867" t="inlineStr">
        <is>
          <t>991003503149702656</t>
        </is>
      </c>
      <c r="AX867" t="inlineStr">
        <is>
          <t>991003503149702656</t>
        </is>
      </c>
      <c r="AY867" t="inlineStr">
        <is>
          <t>2269003110002656</t>
        </is>
      </c>
      <c r="AZ867" t="inlineStr">
        <is>
          <t>BOOK</t>
        </is>
      </c>
      <c r="BB867" t="inlineStr">
        <is>
          <t>9780198501411</t>
        </is>
      </c>
      <c r="BC867" t="inlineStr">
        <is>
          <t>32285004313259</t>
        </is>
      </c>
      <c r="BD867" t="inlineStr">
        <is>
          <t>893787389</t>
        </is>
      </c>
    </row>
    <row r="868">
      <c r="A868" t="inlineStr">
        <is>
          <t>No</t>
        </is>
      </c>
      <c r="B868" t="inlineStr">
        <is>
          <t>QD412.S6 R6</t>
        </is>
      </c>
      <c r="C868" t="inlineStr">
        <is>
          <t>0                      QD 0412000S  6                  R  6</t>
        </is>
      </c>
      <c r="D868" t="inlineStr">
        <is>
          <t>An introduction to the chemistry of the silicones / by Eugene G. Rochow.</t>
        </is>
      </c>
      <c r="F868" t="inlineStr">
        <is>
          <t>No</t>
        </is>
      </c>
      <c r="G868" t="inlineStr">
        <is>
          <t>1</t>
        </is>
      </c>
      <c r="H868" t="inlineStr">
        <is>
          <t>No</t>
        </is>
      </c>
      <c r="I868" t="inlineStr">
        <is>
          <t>No</t>
        </is>
      </c>
      <c r="J868" t="inlineStr">
        <is>
          <t>0</t>
        </is>
      </c>
      <c r="K868" t="inlineStr">
        <is>
          <t>Rochow, Eugene G. (Eugene George), 1909-2002.</t>
        </is>
      </c>
      <c r="L868" t="inlineStr">
        <is>
          <t>New York : J. Wiley &amp; sons, inc. ; London : Chapman &amp; Hall, limited, [1946]</t>
        </is>
      </c>
      <c r="M868" t="inlineStr">
        <is>
          <t>1946</t>
        </is>
      </c>
      <c r="O868" t="inlineStr">
        <is>
          <t>eng</t>
        </is>
      </c>
      <c r="P868" t="inlineStr">
        <is>
          <t>nyu</t>
        </is>
      </c>
      <c r="R868" t="inlineStr">
        <is>
          <t xml:space="preserve">QD </t>
        </is>
      </c>
      <c r="S868" t="n">
        <v>4</v>
      </c>
      <c r="T868" t="n">
        <v>4</v>
      </c>
      <c r="U868" t="inlineStr">
        <is>
          <t>1994-11-29</t>
        </is>
      </c>
      <c r="V868" t="inlineStr">
        <is>
          <t>1994-11-29</t>
        </is>
      </c>
      <c r="W868" t="inlineStr">
        <is>
          <t>1994-11-04</t>
        </is>
      </c>
      <c r="X868" t="inlineStr">
        <is>
          <t>1994-11-04</t>
        </is>
      </c>
      <c r="Y868" t="n">
        <v>382</v>
      </c>
      <c r="Z868" t="n">
        <v>323</v>
      </c>
      <c r="AA868" t="n">
        <v>528</v>
      </c>
      <c r="AB868" t="n">
        <v>4</v>
      </c>
      <c r="AC868" t="n">
        <v>5</v>
      </c>
      <c r="AD868" t="n">
        <v>23</v>
      </c>
      <c r="AE868" t="n">
        <v>33</v>
      </c>
      <c r="AF868" t="n">
        <v>10</v>
      </c>
      <c r="AG868" t="n">
        <v>13</v>
      </c>
      <c r="AH868" t="n">
        <v>4</v>
      </c>
      <c r="AI868" t="n">
        <v>6</v>
      </c>
      <c r="AJ868" t="n">
        <v>11</v>
      </c>
      <c r="AK868" t="n">
        <v>18</v>
      </c>
      <c r="AL868" t="n">
        <v>3</v>
      </c>
      <c r="AM868" t="n">
        <v>4</v>
      </c>
      <c r="AN868" t="n">
        <v>0</v>
      </c>
      <c r="AO868" t="n">
        <v>0</v>
      </c>
      <c r="AP868" t="inlineStr">
        <is>
          <t>No</t>
        </is>
      </c>
      <c r="AQ868" t="inlineStr">
        <is>
          <t>No</t>
        </is>
      </c>
      <c r="AR868">
        <f>HYPERLINK("http://catalog.hathitrust.org/Record/001113629","HathiTrust Record")</f>
        <v/>
      </c>
      <c r="AS868">
        <f>HYPERLINK("https://creighton-primo.hosted.exlibrisgroup.com/primo-explore/search?tab=default_tab&amp;search_scope=EVERYTHING&amp;vid=01CRU&amp;lang=en_US&amp;offset=0&amp;query=any,contains,991004088249702656","Catalog Record")</f>
        <v/>
      </c>
      <c r="AT868">
        <f>HYPERLINK("http://www.worldcat.org/oclc/2337418","WorldCat Record")</f>
        <v/>
      </c>
      <c r="AU868" t="inlineStr">
        <is>
          <t>1573512:eng</t>
        </is>
      </c>
      <c r="AV868" t="inlineStr">
        <is>
          <t>2337418</t>
        </is>
      </c>
      <c r="AW868" t="inlineStr">
        <is>
          <t>991004088249702656</t>
        </is>
      </c>
      <c r="AX868" t="inlineStr">
        <is>
          <t>991004088249702656</t>
        </is>
      </c>
      <c r="AY868" t="inlineStr">
        <is>
          <t>2260424280002656</t>
        </is>
      </c>
      <c r="AZ868" t="inlineStr">
        <is>
          <t>BOOK</t>
        </is>
      </c>
      <c r="BC868" t="inlineStr">
        <is>
          <t>32285001964187</t>
        </is>
      </c>
      <c r="BD868" t="inlineStr">
        <is>
          <t>893337315</t>
        </is>
      </c>
    </row>
    <row r="869">
      <c r="A869" t="inlineStr">
        <is>
          <t>No</t>
        </is>
      </c>
      <c r="B869" t="inlineStr">
        <is>
          <t>QD412.Z6 O76 1999</t>
        </is>
      </c>
      <c r="C869" t="inlineStr">
        <is>
          <t>0                      QD 0412000Z  6                  O  76          1999</t>
        </is>
      </c>
      <c r="D869" t="inlineStr">
        <is>
          <t>Organozinc reagents : a practical approach / edited by Paul Knochel and Philip Jones.</t>
        </is>
      </c>
      <c r="F869" t="inlineStr">
        <is>
          <t>No</t>
        </is>
      </c>
      <c r="G869" t="inlineStr">
        <is>
          <t>1</t>
        </is>
      </c>
      <c r="H869" t="inlineStr">
        <is>
          <t>No</t>
        </is>
      </c>
      <c r="I869" t="inlineStr">
        <is>
          <t>No</t>
        </is>
      </c>
      <c r="J869" t="inlineStr">
        <is>
          <t>0</t>
        </is>
      </c>
      <c r="L869" t="inlineStr">
        <is>
          <t>Oxford ; New York : Oxford University Press, c1999.</t>
        </is>
      </c>
      <c r="M869" t="inlineStr">
        <is>
          <t>1999</t>
        </is>
      </c>
      <c r="O869" t="inlineStr">
        <is>
          <t>eng</t>
        </is>
      </c>
      <c r="P869" t="inlineStr">
        <is>
          <t>enk</t>
        </is>
      </c>
      <c r="Q869" t="inlineStr">
        <is>
          <t>The practical approach in chemistry series</t>
        </is>
      </c>
      <c r="R869" t="inlineStr">
        <is>
          <t xml:space="preserve">QD </t>
        </is>
      </c>
      <c r="S869" t="n">
        <v>2</v>
      </c>
      <c r="T869" t="n">
        <v>2</v>
      </c>
      <c r="U869" t="inlineStr">
        <is>
          <t>2005-03-21</t>
        </is>
      </c>
      <c r="V869" t="inlineStr">
        <is>
          <t>2005-03-21</t>
        </is>
      </c>
      <c r="W869" t="inlineStr">
        <is>
          <t>2001-04-19</t>
        </is>
      </c>
      <c r="X869" t="inlineStr">
        <is>
          <t>2001-04-19</t>
        </is>
      </c>
      <c r="Y869" t="n">
        <v>174</v>
      </c>
      <c r="Z869" t="n">
        <v>110</v>
      </c>
      <c r="AA869" t="n">
        <v>110</v>
      </c>
      <c r="AB869" t="n">
        <v>1</v>
      </c>
      <c r="AC869" t="n">
        <v>1</v>
      </c>
      <c r="AD869" t="n">
        <v>6</v>
      </c>
      <c r="AE869" t="n">
        <v>6</v>
      </c>
      <c r="AF869" t="n">
        <v>2</v>
      </c>
      <c r="AG869" t="n">
        <v>2</v>
      </c>
      <c r="AH869" t="n">
        <v>2</v>
      </c>
      <c r="AI869" t="n">
        <v>2</v>
      </c>
      <c r="AJ869" t="n">
        <v>4</v>
      </c>
      <c r="AK869" t="n">
        <v>4</v>
      </c>
      <c r="AL869" t="n">
        <v>0</v>
      </c>
      <c r="AM869" t="n">
        <v>0</v>
      </c>
      <c r="AN869" t="n">
        <v>0</v>
      </c>
      <c r="AO869" t="n">
        <v>0</v>
      </c>
      <c r="AP869" t="inlineStr">
        <is>
          <t>No</t>
        </is>
      </c>
      <c r="AQ869" t="inlineStr">
        <is>
          <t>No</t>
        </is>
      </c>
      <c r="AS869">
        <f>HYPERLINK("https://creighton-primo.hosted.exlibrisgroup.com/primo-explore/search?tab=default_tab&amp;search_scope=EVERYTHING&amp;vid=01CRU&amp;lang=en_US&amp;offset=0&amp;query=any,contains,991003503419702656","Catalog Record")</f>
        <v/>
      </c>
      <c r="AT869">
        <f>HYPERLINK("http://www.worldcat.org/oclc/39532815","WorldCat Record")</f>
        <v/>
      </c>
      <c r="AU869" t="inlineStr">
        <is>
          <t>795158890:eng</t>
        </is>
      </c>
      <c r="AV869" t="inlineStr">
        <is>
          <t>39532815</t>
        </is>
      </c>
      <c r="AW869" t="inlineStr">
        <is>
          <t>991003503419702656</t>
        </is>
      </c>
      <c r="AX869" t="inlineStr">
        <is>
          <t>991003503419702656</t>
        </is>
      </c>
      <c r="AY869" t="inlineStr">
        <is>
          <t>2256373050002656</t>
        </is>
      </c>
      <c r="AZ869" t="inlineStr">
        <is>
          <t>BOOK</t>
        </is>
      </c>
      <c r="BB869" t="inlineStr">
        <is>
          <t>9780198501213</t>
        </is>
      </c>
      <c r="BC869" t="inlineStr">
        <is>
          <t>32285004313473</t>
        </is>
      </c>
      <c r="BD869" t="inlineStr">
        <is>
          <t>893717722</t>
        </is>
      </c>
    </row>
    <row r="870">
      <c r="A870" t="inlineStr">
        <is>
          <t>No</t>
        </is>
      </c>
      <c r="B870" t="inlineStr">
        <is>
          <t>QD415 .B45 1993</t>
        </is>
      </c>
      <c r="C870" t="inlineStr">
        <is>
          <t>0                      QD 0415000B  45          1993</t>
        </is>
      </c>
      <c r="D870" t="inlineStr">
        <is>
          <t>Bioactive natural products : detection, isolation, and structural determination / [edited by] Steven M. Colegate, Russell J. Molyneux.</t>
        </is>
      </c>
      <c r="F870" t="inlineStr">
        <is>
          <t>No</t>
        </is>
      </c>
      <c r="G870" t="inlineStr">
        <is>
          <t>1</t>
        </is>
      </c>
      <c r="H870" t="inlineStr">
        <is>
          <t>No</t>
        </is>
      </c>
      <c r="I870" t="inlineStr">
        <is>
          <t>No</t>
        </is>
      </c>
      <c r="J870" t="inlineStr">
        <is>
          <t>0</t>
        </is>
      </c>
      <c r="L870" t="inlineStr">
        <is>
          <t>Boca Raton : CRC Press, c1993.</t>
        </is>
      </c>
      <c r="M870" t="inlineStr">
        <is>
          <t>1993</t>
        </is>
      </c>
      <c r="O870" t="inlineStr">
        <is>
          <t>eng</t>
        </is>
      </c>
      <c r="P870" t="inlineStr">
        <is>
          <t>flu</t>
        </is>
      </c>
      <c r="R870" t="inlineStr">
        <is>
          <t xml:space="preserve">QD </t>
        </is>
      </c>
      <c r="S870" t="n">
        <v>9</v>
      </c>
      <c r="T870" t="n">
        <v>9</v>
      </c>
      <c r="U870" t="inlineStr">
        <is>
          <t>2000-04-04</t>
        </is>
      </c>
      <c r="V870" t="inlineStr">
        <is>
          <t>2000-04-04</t>
        </is>
      </c>
      <c r="W870" t="inlineStr">
        <is>
          <t>1994-05-06</t>
        </is>
      </c>
      <c r="X870" t="inlineStr">
        <is>
          <t>1994-05-06</t>
        </is>
      </c>
      <c r="Y870" t="n">
        <v>247</v>
      </c>
      <c r="Z870" t="n">
        <v>177</v>
      </c>
      <c r="AA870" t="n">
        <v>301</v>
      </c>
      <c r="AB870" t="n">
        <v>2</v>
      </c>
      <c r="AC870" t="n">
        <v>3</v>
      </c>
      <c r="AD870" t="n">
        <v>6</v>
      </c>
      <c r="AE870" t="n">
        <v>10</v>
      </c>
      <c r="AF870" t="n">
        <v>2</v>
      </c>
      <c r="AG870" t="n">
        <v>2</v>
      </c>
      <c r="AH870" t="n">
        <v>1</v>
      </c>
      <c r="AI870" t="n">
        <v>1</v>
      </c>
      <c r="AJ870" t="n">
        <v>2</v>
      </c>
      <c r="AK870" t="n">
        <v>5</v>
      </c>
      <c r="AL870" t="n">
        <v>1</v>
      </c>
      <c r="AM870" t="n">
        <v>2</v>
      </c>
      <c r="AN870" t="n">
        <v>0</v>
      </c>
      <c r="AO870" t="n">
        <v>0</v>
      </c>
      <c r="AP870" t="inlineStr">
        <is>
          <t>No</t>
        </is>
      </c>
      <c r="AQ870" t="inlineStr">
        <is>
          <t>No</t>
        </is>
      </c>
      <c r="AS870">
        <f>HYPERLINK("https://creighton-primo.hosted.exlibrisgroup.com/primo-explore/search?tab=default_tab&amp;search_scope=EVERYTHING&amp;vid=01CRU&amp;lang=en_US&amp;offset=0&amp;query=any,contains,991002162519702656","Catalog Record")</f>
        <v/>
      </c>
      <c r="AT870">
        <f>HYPERLINK("http://www.worldcat.org/oclc/27814977","WorldCat Record")</f>
        <v/>
      </c>
      <c r="AU870" t="inlineStr">
        <is>
          <t>863726501:eng</t>
        </is>
      </c>
      <c r="AV870" t="inlineStr">
        <is>
          <t>27814977</t>
        </is>
      </c>
      <c r="AW870" t="inlineStr">
        <is>
          <t>991002162519702656</t>
        </is>
      </c>
      <c r="AX870" t="inlineStr">
        <is>
          <t>991002162519702656</t>
        </is>
      </c>
      <c r="AY870" t="inlineStr">
        <is>
          <t>2267150230002656</t>
        </is>
      </c>
      <c r="AZ870" t="inlineStr">
        <is>
          <t>BOOK</t>
        </is>
      </c>
      <c r="BB870" t="inlineStr">
        <is>
          <t>9780849343728</t>
        </is>
      </c>
      <c r="BC870" t="inlineStr">
        <is>
          <t>32285001879088</t>
        </is>
      </c>
      <c r="BD870" t="inlineStr">
        <is>
          <t>893716128</t>
        </is>
      </c>
    </row>
    <row r="871">
      <c r="A871" t="inlineStr">
        <is>
          <t>No</t>
        </is>
      </c>
      <c r="B871" t="inlineStr">
        <is>
          <t>QD415 .B74</t>
        </is>
      </c>
      <c r="C871" t="inlineStr">
        <is>
          <t>0                      QD 0415000B  74</t>
        </is>
      </c>
      <c r="D871" t="inlineStr">
        <is>
          <t>Interpretation of mass spectra of organic compounds [by] Herbert Budzikiewicz, Carl Djerassi [and] Dudley H. Williams.</t>
        </is>
      </c>
      <c r="F871" t="inlineStr">
        <is>
          <t>No</t>
        </is>
      </c>
      <c r="G871" t="inlineStr">
        <is>
          <t>1</t>
        </is>
      </c>
      <c r="H871" t="inlineStr">
        <is>
          <t>No</t>
        </is>
      </c>
      <c r="I871" t="inlineStr">
        <is>
          <t>No</t>
        </is>
      </c>
      <c r="J871" t="inlineStr">
        <is>
          <t>0</t>
        </is>
      </c>
      <c r="K871" t="inlineStr">
        <is>
          <t>Budzikiewicz, Herbert.</t>
        </is>
      </c>
      <c r="L871" t="inlineStr">
        <is>
          <t>San Francisco, Holden-Day, 1964.</t>
        </is>
      </c>
      <c r="M871" t="inlineStr">
        <is>
          <t>1964</t>
        </is>
      </c>
      <c r="O871" t="inlineStr">
        <is>
          <t>eng</t>
        </is>
      </c>
      <c r="P871" t="inlineStr">
        <is>
          <t>cau</t>
        </is>
      </c>
      <c r="R871" t="inlineStr">
        <is>
          <t xml:space="preserve">QD </t>
        </is>
      </c>
      <c r="S871" t="n">
        <v>4</v>
      </c>
      <c r="T871" t="n">
        <v>4</v>
      </c>
      <c r="U871" t="inlineStr">
        <is>
          <t>2001-12-14</t>
        </is>
      </c>
      <c r="V871" t="inlineStr">
        <is>
          <t>2001-12-14</t>
        </is>
      </c>
      <c r="W871" t="inlineStr">
        <is>
          <t>1997-06-12</t>
        </is>
      </c>
      <c r="X871" t="inlineStr">
        <is>
          <t>1997-06-12</t>
        </is>
      </c>
      <c r="Y871" t="n">
        <v>585</v>
      </c>
      <c r="Z871" t="n">
        <v>440</v>
      </c>
      <c r="AA871" t="n">
        <v>451</v>
      </c>
      <c r="AB871" t="n">
        <v>1</v>
      </c>
      <c r="AC871" t="n">
        <v>1</v>
      </c>
      <c r="AD871" t="n">
        <v>21</v>
      </c>
      <c r="AE871" t="n">
        <v>21</v>
      </c>
      <c r="AF871" t="n">
        <v>9</v>
      </c>
      <c r="AG871" t="n">
        <v>9</v>
      </c>
      <c r="AH871" t="n">
        <v>5</v>
      </c>
      <c r="AI871" t="n">
        <v>5</v>
      </c>
      <c r="AJ871" t="n">
        <v>14</v>
      </c>
      <c r="AK871" t="n">
        <v>14</v>
      </c>
      <c r="AL871" t="n">
        <v>0</v>
      </c>
      <c r="AM871" t="n">
        <v>0</v>
      </c>
      <c r="AN871" t="n">
        <v>0</v>
      </c>
      <c r="AO871" t="n">
        <v>0</v>
      </c>
      <c r="AP871" t="inlineStr">
        <is>
          <t>No</t>
        </is>
      </c>
      <c r="AQ871" t="inlineStr">
        <is>
          <t>Yes</t>
        </is>
      </c>
      <c r="AR871">
        <f>HYPERLINK("http://catalog.hathitrust.org/Record/001487198","HathiTrust Record")</f>
        <v/>
      </c>
      <c r="AS871">
        <f>HYPERLINK("https://creighton-primo.hosted.exlibrisgroup.com/primo-explore/search?tab=default_tab&amp;search_scope=EVERYTHING&amp;vid=01CRU&amp;lang=en_US&amp;offset=0&amp;query=any,contains,991003698589702656","Catalog Record")</f>
        <v/>
      </c>
      <c r="AT871">
        <f>HYPERLINK("http://www.worldcat.org/oclc/1332972","WorldCat Record")</f>
        <v/>
      </c>
      <c r="AU871" t="inlineStr">
        <is>
          <t>2219467:eng</t>
        </is>
      </c>
      <c r="AV871" t="inlineStr">
        <is>
          <t>1332972</t>
        </is>
      </c>
      <c r="AW871" t="inlineStr">
        <is>
          <t>991003698589702656</t>
        </is>
      </c>
      <c r="AX871" t="inlineStr">
        <is>
          <t>991003698589702656</t>
        </is>
      </c>
      <c r="AY871" t="inlineStr">
        <is>
          <t>2259945700002656</t>
        </is>
      </c>
      <c r="AZ871" t="inlineStr">
        <is>
          <t>BOOK</t>
        </is>
      </c>
      <c r="BC871" t="inlineStr">
        <is>
          <t>32285002805165</t>
        </is>
      </c>
      <c r="BD871" t="inlineStr">
        <is>
          <t>893875056</t>
        </is>
      </c>
    </row>
    <row r="872">
      <c r="A872" t="inlineStr">
        <is>
          <t>No</t>
        </is>
      </c>
      <c r="B872" t="inlineStr">
        <is>
          <t>QD415 .M3 v.1</t>
        </is>
      </c>
      <c r="C872" t="inlineStr">
        <is>
          <t>0                      QD 0415000M  3                                                       v.1</t>
        </is>
      </c>
      <c r="D872" t="inlineStr">
        <is>
          <t>Nucleic acid-metal ion interactions / edited by Thomas G. Spiro.</t>
        </is>
      </c>
      <c r="E872" t="inlineStr">
        <is>
          <t>V. 1</t>
        </is>
      </c>
      <c r="F872" t="inlineStr">
        <is>
          <t>No</t>
        </is>
      </c>
      <c r="G872" t="inlineStr">
        <is>
          <t>1</t>
        </is>
      </c>
      <c r="H872" t="inlineStr">
        <is>
          <t>Yes</t>
        </is>
      </c>
      <c r="I872" t="inlineStr">
        <is>
          <t>No</t>
        </is>
      </c>
      <c r="J872" t="inlineStr">
        <is>
          <t>0</t>
        </is>
      </c>
      <c r="L872" t="inlineStr">
        <is>
          <t>New York : Wiley, c1980.</t>
        </is>
      </c>
      <c r="M872" t="inlineStr">
        <is>
          <t>1980</t>
        </is>
      </c>
      <c r="O872" t="inlineStr">
        <is>
          <t>eng</t>
        </is>
      </c>
      <c r="P872" t="inlineStr">
        <is>
          <t>nyu</t>
        </is>
      </c>
      <c r="Q872" t="inlineStr">
        <is>
          <t>Metal ions in biology ; v. 1</t>
        </is>
      </c>
      <c r="R872" t="inlineStr">
        <is>
          <t xml:space="preserve">QD </t>
        </is>
      </c>
      <c r="S872" t="n">
        <v>2</v>
      </c>
      <c r="T872" t="n">
        <v>5</v>
      </c>
      <c r="U872" t="inlineStr">
        <is>
          <t>1993-10-04</t>
        </is>
      </c>
      <c r="V872" t="inlineStr">
        <is>
          <t>2000-02-15</t>
        </is>
      </c>
      <c r="W872" t="inlineStr">
        <is>
          <t>1993-10-04</t>
        </is>
      </c>
      <c r="X872" t="inlineStr">
        <is>
          <t>1993-10-04</t>
        </is>
      </c>
      <c r="Y872" t="n">
        <v>330</v>
      </c>
      <c r="Z872" t="n">
        <v>260</v>
      </c>
      <c r="AA872" t="n">
        <v>268</v>
      </c>
      <c r="AB872" t="n">
        <v>3</v>
      </c>
      <c r="AC872" t="n">
        <v>3</v>
      </c>
      <c r="AD872" t="n">
        <v>6</v>
      </c>
      <c r="AE872" t="n">
        <v>6</v>
      </c>
      <c r="AF872" t="n">
        <v>1</v>
      </c>
      <c r="AG872" t="n">
        <v>1</v>
      </c>
      <c r="AH872" t="n">
        <v>2</v>
      </c>
      <c r="AI872" t="n">
        <v>2</v>
      </c>
      <c r="AJ872" t="n">
        <v>4</v>
      </c>
      <c r="AK872" t="n">
        <v>4</v>
      </c>
      <c r="AL872" t="n">
        <v>1</v>
      </c>
      <c r="AM872" t="n">
        <v>1</v>
      </c>
      <c r="AN872" t="n">
        <v>0</v>
      </c>
      <c r="AO872" t="n">
        <v>0</v>
      </c>
      <c r="AP872" t="inlineStr">
        <is>
          <t>No</t>
        </is>
      </c>
      <c r="AQ872" t="inlineStr">
        <is>
          <t>Yes</t>
        </is>
      </c>
      <c r="AR872">
        <f>HYPERLINK("http://catalog.hathitrust.org/Record/000719105","HathiTrust Record")</f>
        <v/>
      </c>
      <c r="AS872">
        <f>HYPERLINK("https://creighton-primo.hosted.exlibrisgroup.com/primo-explore/search?tab=default_tab&amp;search_scope=EVERYTHING&amp;vid=01CRU&amp;lang=en_US&amp;offset=0&amp;query=any,contains,991001774379702656","Catalog Record")</f>
        <v/>
      </c>
      <c r="AT872">
        <f>HYPERLINK("http://www.worldcat.org/oclc/5007514","WorldCat Record")</f>
        <v/>
      </c>
      <c r="AU872" t="inlineStr">
        <is>
          <t>15144551:eng</t>
        </is>
      </c>
      <c r="AV872" t="inlineStr">
        <is>
          <t>5007514</t>
        </is>
      </c>
      <c r="AW872" t="inlineStr">
        <is>
          <t>991001774379702656</t>
        </is>
      </c>
      <c r="AX872" t="inlineStr">
        <is>
          <t>991001774379702656</t>
        </is>
      </c>
      <c r="AY872" t="inlineStr">
        <is>
          <t>2271678910002656</t>
        </is>
      </c>
      <c r="AZ872" t="inlineStr">
        <is>
          <t>BOOK</t>
        </is>
      </c>
      <c r="BB872" t="inlineStr">
        <is>
          <t>9780471043997</t>
        </is>
      </c>
      <c r="BC872" t="inlineStr">
        <is>
          <t>32285001772622</t>
        </is>
      </c>
      <c r="BD872" t="inlineStr">
        <is>
          <t>893433133</t>
        </is>
      </c>
    </row>
    <row r="873">
      <c r="A873" t="inlineStr">
        <is>
          <t>No</t>
        </is>
      </c>
      <c r="B873" t="inlineStr">
        <is>
          <t>QD415 .M3 v.2</t>
        </is>
      </c>
      <c r="C873" t="inlineStr">
        <is>
          <t>0                      QD 0415000M  3                                                       v.2</t>
        </is>
      </c>
      <c r="D873" t="inlineStr">
        <is>
          <t>Metal ion activation of dioxygen / edited by Thomas G. Spiro.</t>
        </is>
      </c>
      <c r="E873" t="inlineStr">
        <is>
          <t>V. 2</t>
        </is>
      </c>
      <c r="F873" t="inlineStr">
        <is>
          <t>No</t>
        </is>
      </c>
      <c r="G873" t="inlineStr">
        <is>
          <t>1</t>
        </is>
      </c>
      <c r="H873" t="inlineStr">
        <is>
          <t>No</t>
        </is>
      </c>
      <c r="I873" t="inlineStr">
        <is>
          <t>No</t>
        </is>
      </c>
      <c r="J873" t="inlineStr">
        <is>
          <t>0</t>
        </is>
      </c>
      <c r="L873" t="inlineStr">
        <is>
          <t>New York : Wiley, c1980.</t>
        </is>
      </c>
      <c r="M873" t="inlineStr">
        <is>
          <t>1980</t>
        </is>
      </c>
      <c r="O873" t="inlineStr">
        <is>
          <t>eng</t>
        </is>
      </c>
      <c r="P873" t="inlineStr">
        <is>
          <t>nyu</t>
        </is>
      </c>
      <c r="Q873" t="inlineStr">
        <is>
          <t>Metal ions in biology ; v. 2</t>
        </is>
      </c>
      <c r="R873" t="inlineStr">
        <is>
          <t xml:space="preserve">QD </t>
        </is>
      </c>
      <c r="S873" t="n">
        <v>1</v>
      </c>
      <c r="T873" t="n">
        <v>1</v>
      </c>
      <c r="U873" t="inlineStr">
        <is>
          <t>1994-12-04</t>
        </is>
      </c>
      <c r="V873" t="inlineStr">
        <is>
          <t>1994-12-04</t>
        </is>
      </c>
      <c r="W873" t="inlineStr">
        <is>
          <t>1993-10-06</t>
        </is>
      </c>
      <c r="X873" t="inlineStr">
        <is>
          <t>1993-10-06</t>
        </is>
      </c>
      <c r="Y873" t="n">
        <v>339</v>
      </c>
      <c r="Z873" t="n">
        <v>253</v>
      </c>
      <c r="AA873" t="n">
        <v>260</v>
      </c>
      <c r="AB873" t="n">
        <v>2</v>
      </c>
      <c r="AC873" t="n">
        <v>2</v>
      </c>
      <c r="AD873" t="n">
        <v>8</v>
      </c>
      <c r="AE873" t="n">
        <v>8</v>
      </c>
      <c r="AF873" t="n">
        <v>3</v>
      </c>
      <c r="AG873" t="n">
        <v>3</v>
      </c>
      <c r="AH873" t="n">
        <v>2</v>
      </c>
      <c r="AI873" t="n">
        <v>2</v>
      </c>
      <c r="AJ873" t="n">
        <v>5</v>
      </c>
      <c r="AK873" t="n">
        <v>5</v>
      </c>
      <c r="AL873" t="n">
        <v>1</v>
      </c>
      <c r="AM873" t="n">
        <v>1</v>
      </c>
      <c r="AN873" t="n">
        <v>0</v>
      </c>
      <c r="AO873" t="n">
        <v>0</v>
      </c>
      <c r="AP873" t="inlineStr">
        <is>
          <t>No</t>
        </is>
      </c>
      <c r="AQ873" t="inlineStr">
        <is>
          <t>Yes</t>
        </is>
      </c>
      <c r="AR873">
        <f>HYPERLINK("http://catalog.hathitrust.org/Record/000126306","HathiTrust Record")</f>
        <v/>
      </c>
      <c r="AS873">
        <f>HYPERLINK("https://creighton-primo.hosted.exlibrisgroup.com/primo-explore/search?tab=default_tab&amp;search_scope=EVERYTHING&amp;vid=01CRU&amp;lang=en_US&amp;offset=0&amp;query=any,contains,991004958069702656","Catalog Record")</f>
        <v/>
      </c>
      <c r="AT873">
        <f>HYPERLINK("http://www.worldcat.org/oclc/6290766","WorldCat Record")</f>
        <v/>
      </c>
      <c r="AU873" t="inlineStr">
        <is>
          <t>21813901:eng</t>
        </is>
      </c>
      <c r="AV873" t="inlineStr">
        <is>
          <t>6290766</t>
        </is>
      </c>
      <c r="AW873" t="inlineStr">
        <is>
          <t>991004958069702656</t>
        </is>
      </c>
      <c r="AX873" t="inlineStr">
        <is>
          <t>991004958069702656</t>
        </is>
      </c>
      <c r="AY873" t="inlineStr">
        <is>
          <t>2272617550002656</t>
        </is>
      </c>
      <c r="AZ873" t="inlineStr">
        <is>
          <t>BOOK</t>
        </is>
      </c>
      <c r="BC873" t="inlineStr">
        <is>
          <t>32285001774776</t>
        </is>
      </c>
      <c r="BD873" t="inlineStr">
        <is>
          <t>893418199</t>
        </is>
      </c>
    </row>
    <row r="874">
      <c r="A874" t="inlineStr">
        <is>
          <t>No</t>
        </is>
      </c>
      <c r="B874" t="inlineStr">
        <is>
          <t>QD415 .N355 1998</t>
        </is>
      </c>
      <c r="C874" t="inlineStr">
        <is>
          <t>0                      QD 0415000N  355         1998</t>
        </is>
      </c>
      <c r="D874" t="inlineStr">
        <is>
          <t>Natural products isolation / edited by Richard J.P. Cannell.</t>
        </is>
      </c>
      <c r="F874" t="inlineStr">
        <is>
          <t>No</t>
        </is>
      </c>
      <c r="G874" t="inlineStr">
        <is>
          <t>1</t>
        </is>
      </c>
      <c r="H874" t="inlineStr">
        <is>
          <t>No</t>
        </is>
      </c>
      <c r="I874" t="inlineStr">
        <is>
          <t>No</t>
        </is>
      </c>
      <c r="J874" t="inlineStr">
        <is>
          <t>0</t>
        </is>
      </c>
      <c r="L874" t="inlineStr">
        <is>
          <t>Totowa, N.J. : Humana Press, c1998.</t>
        </is>
      </c>
      <c r="M874" t="inlineStr">
        <is>
          <t>1998</t>
        </is>
      </c>
      <c r="O874" t="inlineStr">
        <is>
          <t>eng</t>
        </is>
      </c>
      <c r="P874" t="inlineStr">
        <is>
          <t>nju</t>
        </is>
      </c>
      <c r="Q874" t="inlineStr">
        <is>
          <t>Methods in biotechnology ; 4</t>
        </is>
      </c>
      <c r="R874" t="inlineStr">
        <is>
          <t xml:space="preserve">QD </t>
        </is>
      </c>
      <c r="S874" t="n">
        <v>4</v>
      </c>
      <c r="T874" t="n">
        <v>4</v>
      </c>
      <c r="U874" t="inlineStr">
        <is>
          <t>2002-07-01</t>
        </is>
      </c>
      <c r="V874" t="inlineStr">
        <is>
          <t>2002-07-01</t>
        </is>
      </c>
      <c r="W874" t="inlineStr">
        <is>
          <t>1999-10-12</t>
        </is>
      </c>
      <c r="X874" t="inlineStr">
        <is>
          <t>1999-10-12</t>
        </is>
      </c>
      <c r="Y874" t="n">
        <v>230</v>
      </c>
      <c r="Z874" t="n">
        <v>141</v>
      </c>
      <c r="AA874" t="n">
        <v>795</v>
      </c>
      <c r="AB874" t="n">
        <v>2</v>
      </c>
      <c r="AC874" t="n">
        <v>5</v>
      </c>
      <c r="AD874" t="n">
        <v>8</v>
      </c>
      <c r="AE874" t="n">
        <v>18</v>
      </c>
      <c r="AF874" t="n">
        <v>3</v>
      </c>
      <c r="AG874" t="n">
        <v>10</v>
      </c>
      <c r="AH874" t="n">
        <v>2</v>
      </c>
      <c r="AI874" t="n">
        <v>3</v>
      </c>
      <c r="AJ874" t="n">
        <v>3</v>
      </c>
      <c r="AK874" t="n">
        <v>4</v>
      </c>
      <c r="AL874" t="n">
        <v>1</v>
      </c>
      <c r="AM874" t="n">
        <v>4</v>
      </c>
      <c r="AN874" t="n">
        <v>0</v>
      </c>
      <c r="AO874" t="n">
        <v>0</v>
      </c>
      <c r="AP874" t="inlineStr">
        <is>
          <t>No</t>
        </is>
      </c>
      <c r="AQ874" t="inlineStr">
        <is>
          <t>No</t>
        </is>
      </c>
      <c r="AS874">
        <f>HYPERLINK("https://creighton-primo.hosted.exlibrisgroup.com/primo-explore/search?tab=default_tab&amp;search_scope=EVERYTHING&amp;vid=01CRU&amp;lang=en_US&amp;offset=0&amp;query=any,contains,991002922649702656","Catalog Record")</f>
        <v/>
      </c>
      <c r="AT874">
        <f>HYPERLINK("http://www.worldcat.org/oclc/38842129","WorldCat Record")</f>
        <v/>
      </c>
      <c r="AU874" t="inlineStr">
        <is>
          <t>1090716309:eng</t>
        </is>
      </c>
      <c r="AV874" t="inlineStr">
        <is>
          <t>38842129</t>
        </is>
      </c>
      <c r="AW874" t="inlineStr">
        <is>
          <t>991002922649702656</t>
        </is>
      </c>
      <c r="AX874" t="inlineStr">
        <is>
          <t>991002922649702656</t>
        </is>
      </c>
      <c r="AY874" t="inlineStr">
        <is>
          <t>2256865520002656</t>
        </is>
      </c>
      <c r="AZ874" t="inlineStr">
        <is>
          <t>BOOK</t>
        </is>
      </c>
      <c r="BB874" t="inlineStr">
        <is>
          <t>9780896033627</t>
        </is>
      </c>
      <c r="BC874" t="inlineStr">
        <is>
          <t>32285003594859</t>
        </is>
      </c>
      <c r="BD874" t="inlineStr">
        <is>
          <t>893227441</t>
        </is>
      </c>
    </row>
    <row r="875">
      <c r="A875" t="inlineStr">
        <is>
          <t>No</t>
        </is>
      </c>
      <c r="B875" t="inlineStr">
        <is>
          <t>QD415.3 .W35 2004</t>
        </is>
      </c>
      <c r="C875" t="inlineStr">
        <is>
          <t>0                      QD 0415300W  35          2004</t>
        </is>
      </c>
      <c r="D875" t="inlineStr">
        <is>
          <t>Chemical biology : a practical course / Herbert Waldmann, Petra Janning.</t>
        </is>
      </c>
      <c r="F875" t="inlineStr">
        <is>
          <t>No</t>
        </is>
      </c>
      <c r="G875" t="inlineStr">
        <is>
          <t>1</t>
        </is>
      </c>
      <c r="H875" t="inlineStr">
        <is>
          <t>No</t>
        </is>
      </c>
      <c r="I875" t="inlineStr">
        <is>
          <t>No</t>
        </is>
      </c>
      <c r="J875" t="inlineStr">
        <is>
          <t>0</t>
        </is>
      </c>
      <c r="K875" t="inlineStr">
        <is>
          <t>Waldmann, H. (Herbert)</t>
        </is>
      </c>
      <c r="L875" t="inlineStr">
        <is>
          <t>Weinheim : Wiley-VCH, c2004.</t>
        </is>
      </c>
      <c r="M875" t="inlineStr">
        <is>
          <t>2004</t>
        </is>
      </c>
      <c r="O875" t="inlineStr">
        <is>
          <t>eng</t>
        </is>
      </c>
      <c r="P875" t="inlineStr">
        <is>
          <t xml:space="preserve">gw </t>
        </is>
      </c>
      <c r="R875" t="inlineStr">
        <is>
          <t xml:space="preserve">QD </t>
        </is>
      </c>
      <c r="S875" t="n">
        <v>1</v>
      </c>
      <c r="T875" t="n">
        <v>1</v>
      </c>
      <c r="U875" t="inlineStr">
        <is>
          <t>2004-12-14</t>
        </is>
      </c>
      <c r="V875" t="inlineStr">
        <is>
          <t>2004-12-14</t>
        </is>
      </c>
      <c r="W875" t="inlineStr">
        <is>
          <t>2004-12-14</t>
        </is>
      </c>
      <c r="X875" t="inlineStr">
        <is>
          <t>2004-12-14</t>
        </is>
      </c>
      <c r="Y875" t="n">
        <v>413</v>
      </c>
      <c r="Z875" t="n">
        <v>287</v>
      </c>
      <c r="AA875" t="n">
        <v>292</v>
      </c>
      <c r="AB875" t="n">
        <v>3</v>
      </c>
      <c r="AC875" t="n">
        <v>3</v>
      </c>
      <c r="AD875" t="n">
        <v>12</v>
      </c>
      <c r="AE875" t="n">
        <v>12</v>
      </c>
      <c r="AF875" t="n">
        <v>7</v>
      </c>
      <c r="AG875" t="n">
        <v>7</v>
      </c>
      <c r="AH875" t="n">
        <v>1</v>
      </c>
      <c r="AI875" t="n">
        <v>1</v>
      </c>
      <c r="AJ875" t="n">
        <v>5</v>
      </c>
      <c r="AK875" t="n">
        <v>5</v>
      </c>
      <c r="AL875" t="n">
        <v>2</v>
      </c>
      <c r="AM875" t="n">
        <v>2</v>
      </c>
      <c r="AN875" t="n">
        <v>0</v>
      </c>
      <c r="AO875" t="n">
        <v>0</v>
      </c>
      <c r="AP875" t="inlineStr">
        <is>
          <t>No</t>
        </is>
      </c>
      <c r="AQ875" t="inlineStr">
        <is>
          <t>Yes</t>
        </is>
      </c>
      <c r="AR875">
        <f>HYPERLINK("http://catalog.hathitrust.org/Record/004759356","HathiTrust Record")</f>
        <v/>
      </c>
      <c r="AS875">
        <f>HYPERLINK("https://creighton-primo.hosted.exlibrisgroup.com/primo-explore/search?tab=default_tab&amp;search_scope=EVERYTHING&amp;vid=01CRU&amp;lang=en_US&amp;offset=0&amp;query=any,contains,991004408409702656","Catalog Record")</f>
        <v/>
      </c>
      <c r="AT875">
        <f>HYPERLINK("http://www.worldcat.org/oclc/55600307","WorldCat Record")</f>
        <v/>
      </c>
      <c r="AU875" t="inlineStr">
        <is>
          <t>266443957:eng</t>
        </is>
      </c>
      <c r="AV875" t="inlineStr">
        <is>
          <t>55600307</t>
        </is>
      </c>
      <c r="AW875" t="inlineStr">
        <is>
          <t>991004408409702656</t>
        </is>
      </c>
      <c r="AX875" t="inlineStr">
        <is>
          <t>991004408409702656</t>
        </is>
      </c>
      <c r="AY875" t="inlineStr">
        <is>
          <t>2258630620002656</t>
        </is>
      </c>
      <c r="AZ875" t="inlineStr">
        <is>
          <t>BOOK</t>
        </is>
      </c>
      <c r="BB875" t="inlineStr">
        <is>
          <t>9783527307784</t>
        </is>
      </c>
      <c r="BC875" t="inlineStr">
        <is>
          <t>32285005017016</t>
        </is>
      </c>
      <c r="BD875" t="inlineStr">
        <is>
          <t>893319185</t>
        </is>
      </c>
    </row>
    <row r="876">
      <c r="A876" t="inlineStr">
        <is>
          <t>No</t>
        </is>
      </c>
      <c r="B876" t="inlineStr">
        <is>
          <t>QD415.5 .I4 1991</t>
        </is>
      </c>
      <c r="C876" t="inlineStr">
        <is>
          <t>0                      QD 0415500I  4           1991</t>
        </is>
      </c>
      <c r="D876" t="inlineStr">
        <is>
          <t>Natural products : a laboratory guide / Raphael Ikan.</t>
        </is>
      </c>
      <c r="F876" t="inlineStr">
        <is>
          <t>No</t>
        </is>
      </c>
      <c r="G876" t="inlineStr">
        <is>
          <t>1</t>
        </is>
      </c>
      <c r="H876" t="inlineStr">
        <is>
          <t>No</t>
        </is>
      </c>
      <c r="I876" t="inlineStr">
        <is>
          <t>Yes</t>
        </is>
      </c>
      <c r="J876" t="inlineStr">
        <is>
          <t>0</t>
        </is>
      </c>
      <c r="K876" t="inlineStr">
        <is>
          <t>Ikan, Raphael, 1927-2013.</t>
        </is>
      </c>
      <c r="L876" t="inlineStr">
        <is>
          <t>San Diego, Calif. : Academic Press, 1991.</t>
        </is>
      </c>
      <c r="M876" t="inlineStr">
        <is>
          <t>1991</t>
        </is>
      </c>
      <c r="N876" t="inlineStr">
        <is>
          <t>2nd ed.</t>
        </is>
      </c>
      <c r="O876" t="inlineStr">
        <is>
          <t>eng</t>
        </is>
      </c>
      <c r="P876" t="inlineStr">
        <is>
          <t>cau</t>
        </is>
      </c>
      <c r="R876" t="inlineStr">
        <is>
          <t xml:space="preserve">QD </t>
        </is>
      </c>
      <c r="S876" t="n">
        <v>2</v>
      </c>
      <c r="T876" t="n">
        <v>2</v>
      </c>
      <c r="U876" t="inlineStr">
        <is>
          <t>1998-12-15</t>
        </is>
      </c>
      <c r="V876" t="inlineStr">
        <is>
          <t>1998-12-15</t>
        </is>
      </c>
      <c r="W876" t="inlineStr">
        <is>
          <t>1992-05-05</t>
        </is>
      </c>
      <c r="X876" t="inlineStr">
        <is>
          <t>1992-05-05</t>
        </is>
      </c>
      <c r="Y876" t="n">
        <v>297</v>
      </c>
      <c r="Z876" t="n">
        <v>183</v>
      </c>
      <c r="AA876" t="n">
        <v>435</v>
      </c>
      <c r="AB876" t="n">
        <v>2</v>
      </c>
      <c r="AC876" t="n">
        <v>3</v>
      </c>
      <c r="AD876" t="n">
        <v>7</v>
      </c>
      <c r="AE876" t="n">
        <v>21</v>
      </c>
      <c r="AF876" t="n">
        <v>2</v>
      </c>
      <c r="AG876" t="n">
        <v>9</v>
      </c>
      <c r="AH876" t="n">
        <v>2</v>
      </c>
      <c r="AI876" t="n">
        <v>6</v>
      </c>
      <c r="AJ876" t="n">
        <v>5</v>
      </c>
      <c r="AK876" t="n">
        <v>11</v>
      </c>
      <c r="AL876" t="n">
        <v>1</v>
      </c>
      <c r="AM876" t="n">
        <v>1</v>
      </c>
      <c r="AN876" t="n">
        <v>0</v>
      </c>
      <c r="AO876" t="n">
        <v>0</v>
      </c>
      <c r="AP876" t="inlineStr">
        <is>
          <t>No</t>
        </is>
      </c>
      <c r="AQ876" t="inlineStr">
        <is>
          <t>No</t>
        </is>
      </c>
      <c r="AS876">
        <f>HYPERLINK("https://creighton-primo.hosted.exlibrisgroup.com/primo-explore/search?tab=default_tab&amp;search_scope=EVERYTHING&amp;vid=01CRU&amp;lang=en_US&amp;offset=0&amp;query=any,contains,991001861849702656","Catalog Record")</f>
        <v/>
      </c>
      <c r="AT876">
        <f>HYPERLINK("http://www.worldcat.org/oclc/23384601","WorldCat Record")</f>
        <v/>
      </c>
      <c r="AU876" t="inlineStr">
        <is>
          <t>1195909:eng</t>
        </is>
      </c>
      <c r="AV876" t="inlineStr">
        <is>
          <t>23384601</t>
        </is>
      </c>
      <c r="AW876" t="inlineStr">
        <is>
          <t>991001861849702656</t>
        </is>
      </c>
      <c r="AX876" t="inlineStr">
        <is>
          <t>991001861849702656</t>
        </is>
      </c>
      <c r="AY876" t="inlineStr">
        <is>
          <t>2267864310002656</t>
        </is>
      </c>
      <c r="AZ876" t="inlineStr">
        <is>
          <t>BOOK</t>
        </is>
      </c>
      <c r="BB876" t="inlineStr">
        <is>
          <t>9780123705518</t>
        </is>
      </c>
      <c r="BC876" t="inlineStr">
        <is>
          <t>32285001038230</t>
        </is>
      </c>
      <c r="BD876" t="inlineStr">
        <is>
          <t>893885598</t>
        </is>
      </c>
    </row>
    <row r="877">
      <c r="A877" t="inlineStr">
        <is>
          <t>No</t>
        </is>
      </c>
      <c r="B877" t="inlineStr">
        <is>
          <t>QD415.5 .L3 v.2, pt.1</t>
        </is>
      </c>
      <c r="C877" t="inlineStr">
        <is>
          <t>0                      QD 0415500L  3                                                       v.2, pt.1</t>
        </is>
      </c>
      <c r="D877" t="inlineStr">
        <is>
          <t>Automated enzyme assays / D.B. Roodyn.</t>
        </is>
      </c>
      <c r="E877" t="inlineStr">
        <is>
          <t>V.2 PT.1</t>
        </is>
      </c>
      <c r="F877" t="inlineStr">
        <is>
          <t>No</t>
        </is>
      </c>
      <c r="G877" t="inlineStr">
        <is>
          <t>1</t>
        </is>
      </c>
      <c r="H877" t="inlineStr">
        <is>
          <t>No</t>
        </is>
      </c>
      <c r="I877" t="inlineStr">
        <is>
          <t>Yes</t>
        </is>
      </c>
      <c r="J877" t="inlineStr">
        <is>
          <t>0</t>
        </is>
      </c>
      <c r="K877" t="inlineStr">
        <is>
          <t>Roodyn, D. B.</t>
        </is>
      </c>
      <c r="L877" t="inlineStr">
        <is>
          <t>Amsterdam : North-Holland Pub. Co. ; New York : American Elsevier Pub. Co., 1970.</t>
        </is>
      </c>
      <c r="M877" t="inlineStr">
        <is>
          <t>1970</t>
        </is>
      </c>
      <c r="N877" t="inlineStr">
        <is>
          <t>Pocket ed.</t>
        </is>
      </c>
      <c r="O877" t="inlineStr">
        <is>
          <t>eng</t>
        </is>
      </c>
      <c r="P877" t="inlineStr">
        <is>
          <t xml:space="preserve">ne </t>
        </is>
      </c>
      <c r="Q877" t="inlineStr">
        <is>
          <t>Laboratory techniques in biochemistry and molecular biology ; v. 2, pt. 1</t>
        </is>
      </c>
      <c r="R877" t="inlineStr">
        <is>
          <t xml:space="preserve">QD </t>
        </is>
      </c>
      <c r="S877" t="n">
        <v>1</v>
      </c>
      <c r="T877" t="n">
        <v>1</v>
      </c>
      <c r="U877" t="inlineStr">
        <is>
          <t>1998-07-01</t>
        </is>
      </c>
      <c r="V877" t="inlineStr">
        <is>
          <t>1998-07-01</t>
        </is>
      </c>
      <c r="W877" t="inlineStr">
        <is>
          <t>1993-11-09</t>
        </is>
      </c>
      <c r="X877" t="inlineStr">
        <is>
          <t>1993-11-09</t>
        </is>
      </c>
      <c r="Y877" t="n">
        <v>104</v>
      </c>
      <c r="Z877" t="n">
        <v>68</v>
      </c>
      <c r="AA877" t="n">
        <v>207</v>
      </c>
      <c r="AB877" t="n">
        <v>1</v>
      </c>
      <c r="AC877" t="n">
        <v>1</v>
      </c>
      <c r="AD877" t="n">
        <v>2</v>
      </c>
      <c r="AE877" t="n">
        <v>6</v>
      </c>
      <c r="AF877" t="n">
        <v>0</v>
      </c>
      <c r="AG877" t="n">
        <v>1</v>
      </c>
      <c r="AH877" t="n">
        <v>1</v>
      </c>
      <c r="AI877" t="n">
        <v>2</v>
      </c>
      <c r="AJ877" t="n">
        <v>1</v>
      </c>
      <c r="AK877" t="n">
        <v>4</v>
      </c>
      <c r="AL877" t="n">
        <v>0</v>
      </c>
      <c r="AM877" t="n">
        <v>0</v>
      </c>
      <c r="AN877" t="n">
        <v>0</v>
      </c>
      <c r="AO877" t="n">
        <v>0</v>
      </c>
      <c r="AP877" t="inlineStr">
        <is>
          <t>No</t>
        </is>
      </c>
      <c r="AQ877" t="inlineStr">
        <is>
          <t>Yes</t>
        </is>
      </c>
      <c r="AR877">
        <f>HYPERLINK("http://catalog.hathitrust.org/Record/010087544","HathiTrust Record")</f>
        <v/>
      </c>
      <c r="AS877">
        <f>HYPERLINK("https://creighton-primo.hosted.exlibrisgroup.com/primo-explore/search?tab=default_tab&amp;search_scope=EVERYTHING&amp;vid=01CRU&amp;lang=en_US&amp;offset=0&amp;query=any,contains,991003860159702656","Catalog Record")</f>
        <v/>
      </c>
      <c r="AT877">
        <f>HYPERLINK("http://www.worldcat.org/oclc/1664419","WorldCat Record")</f>
        <v/>
      </c>
      <c r="AU877" t="inlineStr">
        <is>
          <t>5090967491:eng</t>
        </is>
      </c>
      <c r="AV877" t="inlineStr">
        <is>
          <t>1664419</t>
        </is>
      </c>
      <c r="AW877" t="inlineStr">
        <is>
          <t>991003860159702656</t>
        </is>
      </c>
      <c r="AX877" t="inlineStr">
        <is>
          <t>991003860159702656</t>
        </is>
      </c>
      <c r="AY877" t="inlineStr">
        <is>
          <t>2267172230002656</t>
        </is>
      </c>
      <c r="AZ877" t="inlineStr">
        <is>
          <t>BOOK</t>
        </is>
      </c>
      <c r="BB877" t="inlineStr">
        <is>
          <t>9780444100566</t>
        </is>
      </c>
      <c r="BC877" t="inlineStr">
        <is>
          <t>32285001791523</t>
        </is>
      </c>
      <c r="BD877" t="inlineStr">
        <is>
          <t>893900462</t>
        </is>
      </c>
    </row>
    <row r="878">
      <c r="A878" t="inlineStr">
        <is>
          <t>No</t>
        </is>
      </c>
      <c r="B878" t="inlineStr">
        <is>
          <t>QD415.5 .L3 v.24</t>
        </is>
      </c>
      <c r="C878" t="inlineStr">
        <is>
          <t>0                      QD 0415500L  3                                                       v.24</t>
        </is>
      </c>
      <c r="D878" t="inlineStr">
        <is>
          <t>Hybridization with nucleic acid probes / P. Tijssen.</t>
        </is>
      </c>
      <c r="E878" t="inlineStr">
        <is>
          <t>V.24 PT.1</t>
        </is>
      </c>
      <c r="F878" t="inlineStr">
        <is>
          <t>Yes</t>
        </is>
      </c>
      <c r="G878" t="inlineStr">
        <is>
          <t>1</t>
        </is>
      </c>
      <c r="H878" t="inlineStr">
        <is>
          <t>No</t>
        </is>
      </c>
      <c r="I878" t="inlineStr">
        <is>
          <t>No</t>
        </is>
      </c>
      <c r="J878" t="inlineStr">
        <is>
          <t>0</t>
        </is>
      </c>
      <c r="K878" t="inlineStr">
        <is>
          <t>Tijssen, P.</t>
        </is>
      </c>
      <c r="L878" t="inlineStr">
        <is>
          <t>Amsterdam ; New York : Elsevier, 1993.</t>
        </is>
      </c>
      <c r="M878" t="inlineStr">
        <is>
          <t>1993</t>
        </is>
      </c>
      <c r="O878" t="inlineStr">
        <is>
          <t>eng</t>
        </is>
      </c>
      <c r="P878" t="inlineStr">
        <is>
          <t xml:space="preserve">ne </t>
        </is>
      </c>
      <c r="Q878" t="inlineStr">
        <is>
          <t>Laboratory techniques in biochemistry and molecular biology ; v. 24</t>
        </is>
      </c>
      <c r="R878" t="inlineStr">
        <is>
          <t xml:space="preserve">QD </t>
        </is>
      </c>
      <c r="S878" t="n">
        <v>4</v>
      </c>
      <c r="T878" t="n">
        <v>4</v>
      </c>
      <c r="U878" t="inlineStr">
        <is>
          <t>1999-01-17</t>
        </is>
      </c>
      <c r="V878" t="inlineStr">
        <is>
          <t>1999-01-17</t>
        </is>
      </c>
      <c r="W878" t="inlineStr">
        <is>
          <t>1994-08-30</t>
        </is>
      </c>
      <c r="X878" t="inlineStr">
        <is>
          <t>1994-08-30</t>
        </is>
      </c>
      <c r="Y878" t="n">
        <v>213</v>
      </c>
      <c r="Z878" t="n">
        <v>145</v>
      </c>
      <c r="AA878" t="n">
        <v>176</v>
      </c>
      <c r="AB878" t="n">
        <v>1</v>
      </c>
      <c r="AC878" t="n">
        <v>2</v>
      </c>
      <c r="AD878" t="n">
        <v>6</v>
      </c>
      <c r="AE878" t="n">
        <v>9</v>
      </c>
      <c r="AF878" t="n">
        <v>2</v>
      </c>
      <c r="AG878" t="n">
        <v>4</v>
      </c>
      <c r="AH878" t="n">
        <v>2</v>
      </c>
      <c r="AI878" t="n">
        <v>3</v>
      </c>
      <c r="AJ878" t="n">
        <v>5</v>
      </c>
      <c r="AK878" t="n">
        <v>5</v>
      </c>
      <c r="AL878" t="n">
        <v>0</v>
      </c>
      <c r="AM878" t="n">
        <v>1</v>
      </c>
      <c r="AN878" t="n">
        <v>0</v>
      </c>
      <c r="AO878" t="n">
        <v>0</v>
      </c>
      <c r="AP878" t="inlineStr">
        <is>
          <t>No</t>
        </is>
      </c>
      <c r="AQ878" t="inlineStr">
        <is>
          <t>Yes</t>
        </is>
      </c>
      <c r="AR878">
        <f>HYPERLINK("http://catalog.hathitrust.org/Record/007973027","HathiTrust Record")</f>
        <v/>
      </c>
      <c r="AS878">
        <f>HYPERLINK("https://creighton-primo.hosted.exlibrisgroup.com/primo-explore/search?tab=default_tab&amp;search_scope=EVERYTHING&amp;vid=01CRU&amp;lang=en_US&amp;offset=0&amp;query=any,contains,991002174689702656","Catalog Record")</f>
        <v/>
      </c>
      <c r="AT878">
        <f>HYPERLINK("http://www.worldcat.org/oclc/27976767","WorldCat Record")</f>
        <v/>
      </c>
      <c r="AU878" t="inlineStr">
        <is>
          <t>10677851725:eng</t>
        </is>
      </c>
      <c r="AV878" t="inlineStr">
        <is>
          <t>27976767</t>
        </is>
      </c>
      <c r="AW878" t="inlineStr">
        <is>
          <t>991002174689702656</t>
        </is>
      </c>
      <c r="AX878" t="inlineStr">
        <is>
          <t>991002174689702656</t>
        </is>
      </c>
      <c r="AY878" t="inlineStr">
        <is>
          <t>2261115340002656</t>
        </is>
      </c>
      <c r="AZ878" t="inlineStr">
        <is>
          <t>BOOK</t>
        </is>
      </c>
      <c r="BB878" t="inlineStr">
        <is>
          <t>9780444898838</t>
        </is>
      </c>
      <c r="BC878" t="inlineStr">
        <is>
          <t>32285001939072</t>
        </is>
      </c>
      <c r="BD878" t="inlineStr">
        <is>
          <t>893892235</t>
        </is>
      </c>
    </row>
    <row r="879">
      <c r="A879" t="inlineStr">
        <is>
          <t>No</t>
        </is>
      </c>
      <c r="B879" t="inlineStr">
        <is>
          <t>QD415.5 .L3 v.3, pt.2</t>
        </is>
      </c>
      <c r="C879" t="inlineStr">
        <is>
          <t>0                      QD 0415500L  3                                                       v.3, pt.2</t>
        </is>
      </c>
      <c r="D879" t="inlineStr">
        <is>
          <t>Techniques of lipidology ; isolation, analysis and identification of lipids / Morris Kates. --</t>
        </is>
      </c>
      <c r="E879" t="inlineStr">
        <is>
          <t>V.3 PT.2</t>
        </is>
      </c>
      <c r="F879" t="inlineStr">
        <is>
          <t>No</t>
        </is>
      </c>
      <c r="G879" t="inlineStr">
        <is>
          <t>1</t>
        </is>
      </c>
      <c r="H879" t="inlineStr">
        <is>
          <t>No</t>
        </is>
      </c>
      <c r="I879" t="inlineStr">
        <is>
          <t>No</t>
        </is>
      </c>
      <c r="J879" t="inlineStr">
        <is>
          <t>0</t>
        </is>
      </c>
      <c r="K879" t="inlineStr">
        <is>
          <t>Kates, Morris.</t>
        </is>
      </c>
      <c r="L879" t="inlineStr">
        <is>
          <t>Amsterdam : North-Holland Pub. Co. ; New York : American Elsevier, c1972.</t>
        </is>
      </c>
      <c r="M879" t="inlineStr">
        <is>
          <t>1972</t>
        </is>
      </c>
      <c r="O879" t="inlineStr">
        <is>
          <t>eng</t>
        </is>
      </c>
      <c r="P879" t="inlineStr">
        <is>
          <t xml:space="preserve">fs </t>
        </is>
      </c>
      <c r="Q879" t="inlineStr">
        <is>
          <t>Laboratory techniques in biochemistry and molecular biology ; v. 3, pt. 3</t>
        </is>
      </c>
      <c r="R879" t="inlineStr">
        <is>
          <t xml:space="preserve">QD </t>
        </is>
      </c>
      <c r="S879" t="n">
        <v>2</v>
      </c>
      <c r="T879" t="n">
        <v>2</v>
      </c>
      <c r="U879" t="inlineStr">
        <is>
          <t>1994-10-02</t>
        </is>
      </c>
      <c r="V879" t="inlineStr">
        <is>
          <t>1994-10-02</t>
        </is>
      </c>
      <c r="W879" t="inlineStr">
        <is>
          <t>1993-11-09</t>
        </is>
      </c>
      <c r="X879" t="inlineStr">
        <is>
          <t>1993-11-09</t>
        </is>
      </c>
      <c r="Y879" t="n">
        <v>204</v>
      </c>
      <c r="Z879" t="n">
        <v>128</v>
      </c>
      <c r="AA879" t="n">
        <v>264</v>
      </c>
      <c r="AB879" t="n">
        <v>1</v>
      </c>
      <c r="AC879" t="n">
        <v>1</v>
      </c>
      <c r="AD879" t="n">
        <v>2</v>
      </c>
      <c r="AE879" t="n">
        <v>7</v>
      </c>
      <c r="AF879" t="n">
        <v>0</v>
      </c>
      <c r="AG879" t="n">
        <v>0</v>
      </c>
      <c r="AH879" t="n">
        <v>0</v>
      </c>
      <c r="AI879" t="n">
        <v>4</v>
      </c>
      <c r="AJ879" t="n">
        <v>2</v>
      </c>
      <c r="AK879" t="n">
        <v>5</v>
      </c>
      <c r="AL879" t="n">
        <v>0</v>
      </c>
      <c r="AM879" t="n">
        <v>0</v>
      </c>
      <c r="AN879" t="n">
        <v>0</v>
      </c>
      <c r="AO879" t="n">
        <v>0</v>
      </c>
      <c r="AP879" t="inlineStr">
        <is>
          <t>No</t>
        </is>
      </c>
      <c r="AQ879" t="inlineStr">
        <is>
          <t>Yes</t>
        </is>
      </c>
      <c r="AR879">
        <f>HYPERLINK("http://catalog.hathitrust.org/Record/001555687","HathiTrust Record")</f>
        <v/>
      </c>
      <c r="AS879">
        <f>HYPERLINK("https://creighton-primo.hosted.exlibrisgroup.com/primo-explore/search?tab=default_tab&amp;search_scope=EVERYTHING&amp;vid=01CRU&amp;lang=en_US&amp;offset=0&amp;query=any,contains,991003491559702656","Catalog Record")</f>
        <v/>
      </c>
      <c r="AT879">
        <f>HYPERLINK("http://www.worldcat.org/oclc/1040896","WorldCat Record")</f>
        <v/>
      </c>
      <c r="AU879" t="inlineStr">
        <is>
          <t>2007135:eng</t>
        </is>
      </c>
      <c r="AV879" t="inlineStr">
        <is>
          <t>1040896</t>
        </is>
      </c>
      <c r="AW879" t="inlineStr">
        <is>
          <t>991003491559702656</t>
        </is>
      </c>
      <c r="AX879" t="inlineStr">
        <is>
          <t>991003491559702656</t>
        </is>
      </c>
      <c r="AY879" t="inlineStr">
        <is>
          <t>2272265000002656</t>
        </is>
      </c>
      <c r="AZ879" t="inlineStr">
        <is>
          <t>BOOK</t>
        </is>
      </c>
      <c r="BC879" t="inlineStr">
        <is>
          <t>32285001791481</t>
        </is>
      </c>
      <c r="BD879" t="inlineStr">
        <is>
          <t>893410331</t>
        </is>
      </c>
    </row>
    <row r="880">
      <c r="A880" t="inlineStr">
        <is>
          <t>No</t>
        </is>
      </c>
      <c r="B880" t="inlineStr">
        <is>
          <t>QD415.5 .L3 v.4, pt.2</t>
        </is>
      </c>
      <c r="C880" t="inlineStr">
        <is>
          <t>0                      QD 0415500L  3                                                       v.4, pt.2</t>
        </is>
      </c>
      <c r="D880" t="inlineStr">
        <is>
          <t>Separation methods for nucleic acids and oligonucleotides / Hannah Gould and H. R. Matthews.</t>
        </is>
      </c>
      <c r="E880" t="inlineStr">
        <is>
          <t>V.4 PT.2</t>
        </is>
      </c>
      <c r="F880" t="inlineStr">
        <is>
          <t>No</t>
        </is>
      </c>
      <c r="G880" t="inlineStr">
        <is>
          <t>1</t>
        </is>
      </c>
      <c r="H880" t="inlineStr">
        <is>
          <t>No</t>
        </is>
      </c>
      <c r="I880" t="inlineStr">
        <is>
          <t>No</t>
        </is>
      </c>
      <c r="J880" t="inlineStr">
        <is>
          <t>0</t>
        </is>
      </c>
      <c r="K880" t="inlineStr">
        <is>
          <t>Gould, H. (Hannah)</t>
        </is>
      </c>
      <c r="L880" t="inlineStr">
        <is>
          <t>Amsterdam : North-Holland Pub. Co. ; New York : American Elsevier Pub. Co., 1976.</t>
        </is>
      </c>
      <c r="M880" t="inlineStr">
        <is>
          <t>1977</t>
        </is>
      </c>
      <c r="O880" t="inlineStr">
        <is>
          <t>eng</t>
        </is>
      </c>
      <c r="P880" t="inlineStr">
        <is>
          <t xml:space="preserve">ne </t>
        </is>
      </c>
      <c r="Q880" t="inlineStr">
        <is>
          <t>Laboratory techniques in biochemistry and molecular biology ; v. 4, pt. 2</t>
        </is>
      </c>
      <c r="R880" t="inlineStr">
        <is>
          <t xml:space="preserve">QD </t>
        </is>
      </c>
      <c r="S880" t="n">
        <v>1</v>
      </c>
      <c r="T880" t="n">
        <v>1</v>
      </c>
      <c r="U880" t="inlineStr">
        <is>
          <t>1995-04-19</t>
        </is>
      </c>
      <c r="V880" t="inlineStr">
        <is>
          <t>1995-04-19</t>
        </is>
      </c>
      <c r="W880" t="inlineStr">
        <is>
          <t>1993-11-09</t>
        </is>
      </c>
      <c r="X880" t="inlineStr">
        <is>
          <t>1993-11-09</t>
        </is>
      </c>
      <c r="Y880" t="n">
        <v>145</v>
      </c>
      <c r="Z880" t="n">
        <v>98</v>
      </c>
      <c r="AA880" t="n">
        <v>103</v>
      </c>
      <c r="AB880" t="n">
        <v>1</v>
      </c>
      <c r="AC880" t="n">
        <v>1</v>
      </c>
      <c r="AD880" t="n">
        <v>0</v>
      </c>
      <c r="AE880" t="n">
        <v>0</v>
      </c>
      <c r="AF880" t="n">
        <v>0</v>
      </c>
      <c r="AG880" t="n">
        <v>0</v>
      </c>
      <c r="AH880" t="n">
        <v>0</v>
      </c>
      <c r="AI880" t="n">
        <v>0</v>
      </c>
      <c r="AJ880" t="n">
        <v>0</v>
      </c>
      <c r="AK880" t="n">
        <v>0</v>
      </c>
      <c r="AL880" t="n">
        <v>0</v>
      </c>
      <c r="AM880" t="n">
        <v>0</v>
      </c>
      <c r="AN880" t="n">
        <v>0</v>
      </c>
      <c r="AO880" t="n">
        <v>0</v>
      </c>
      <c r="AP880" t="inlineStr">
        <is>
          <t>No</t>
        </is>
      </c>
      <c r="AQ880" t="inlineStr">
        <is>
          <t>Yes</t>
        </is>
      </c>
      <c r="AR880">
        <f>HYPERLINK("http://catalog.hathitrust.org/Record/007836893","HathiTrust Record")</f>
        <v/>
      </c>
      <c r="AS880">
        <f>HYPERLINK("https://creighton-primo.hosted.exlibrisgroup.com/primo-explore/search?tab=default_tab&amp;search_scope=EVERYTHING&amp;vid=01CRU&amp;lang=en_US&amp;offset=0&amp;query=any,contains,991003830249702656","Catalog Record")</f>
        <v/>
      </c>
      <c r="AT880">
        <f>HYPERLINK("http://www.worldcat.org/oclc/1583979","WorldCat Record")</f>
        <v/>
      </c>
      <c r="AU880" t="inlineStr">
        <is>
          <t>3943305956:eng</t>
        </is>
      </c>
      <c r="AV880" t="inlineStr">
        <is>
          <t>1583979</t>
        </is>
      </c>
      <c r="AW880" t="inlineStr">
        <is>
          <t>991003830249702656</t>
        </is>
      </c>
      <c r="AX880" t="inlineStr">
        <is>
          <t>991003830249702656</t>
        </is>
      </c>
      <c r="AY880" t="inlineStr">
        <is>
          <t>2269207540002656</t>
        </is>
      </c>
      <c r="AZ880" t="inlineStr">
        <is>
          <t>BOOK</t>
        </is>
      </c>
      <c r="BB880" t="inlineStr">
        <is>
          <t>9780444108685</t>
        </is>
      </c>
      <c r="BC880" t="inlineStr">
        <is>
          <t>32285001791473</t>
        </is>
      </c>
      <c r="BD880" t="inlineStr">
        <is>
          <t>893705678</t>
        </is>
      </c>
    </row>
    <row r="881">
      <c r="A881" t="inlineStr">
        <is>
          <t>No</t>
        </is>
      </c>
      <c r="B881" t="inlineStr">
        <is>
          <t>QD415.5 .L3 v.6, pt.1</t>
        </is>
      </c>
      <c r="C881" t="inlineStr">
        <is>
          <t>0                      QD 0415500L  3                                                       v.6, pt.1</t>
        </is>
      </c>
      <c r="D881" t="inlineStr">
        <is>
          <t>Density gradient centrifugation / Richard Hinton and Miloslav Dobrota.</t>
        </is>
      </c>
      <c r="E881" t="inlineStr">
        <is>
          <t>V.6 PT.1</t>
        </is>
      </c>
      <c r="F881" t="inlineStr">
        <is>
          <t>No</t>
        </is>
      </c>
      <c r="G881" t="inlineStr">
        <is>
          <t>1</t>
        </is>
      </c>
      <c r="H881" t="inlineStr">
        <is>
          <t>No</t>
        </is>
      </c>
      <c r="I881" t="inlineStr">
        <is>
          <t>No</t>
        </is>
      </c>
      <c r="J881" t="inlineStr">
        <is>
          <t>0</t>
        </is>
      </c>
      <c r="K881" t="inlineStr">
        <is>
          <t>Hinton, Richard.</t>
        </is>
      </c>
      <c r="L881" t="inlineStr">
        <is>
          <t>Amsterdam ; New York : North-Holland Pub. Co., c1976.</t>
        </is>
      </c>
      <c r="M881" t="inlineStr">
        <is>
          <t>1976</t>
        </is>
      </c>
      <c r="O881" t="inlineStr">
        <is>
          <t>eng</t>
        </is>
      </c>
      <c r="P881" t="inlineStr">
        <is>
          <t xml:space="preserve">ne </t>
        </is>
      </c>
      <c r="Q881" t="inlineStr">
        <is>
          <t>Laboratory techniques in biochemistry and molecular biology ; v. 6, pt. 1</t>
        </is>
      </c>
      <c r="R881" t="inlineStr">
        <is>
          <t xml:space="preserve">QD </t>
        </is>
      </c>
      <c r="S881" t="n">
        <v>4</v>
      </c>
      <c r="T881" t="n">
        <v>4</v>
      </c>
      <c r="U881" t="inlineStr">
        <is>
          <t>2006-10-26</t>
        </is>
      </c>
      <c r="V881" t="inlineStr">
        <is>
          <t>2006-10-26</t>
        </is>
      </c>
      <c r="W881" t="inlineStr">
        <is>
          <t>1993-11-09</t>
        </is>
      </c>
      <c r="X881" t="inlineStr">
        <is>
          <t>1993-11-09</t>
        </is>
      </c>
      <c r="Y881" t="n">
        <v>214</v>
      </c>
      <c r="Z881" t="n">
        <v>123</v>
      </c>
      <c r="AA881" t="n">
        <v>201</v>
      </c>
      <c r="AB881" t="n">
        <v>2</v>
      </c>
      <c r="AC881" t="n">
        <v>2</v>
      </c>
      <c r="AD881" t="n">
        <v>5</v>
      </c>
      <c r="AE881" t="n">
        <v>8</v>
      </c>
      <c r="AF881" t="n">
        <v>1</v>
      </c>
      <c r="AG881" t="n">
        <v>1</v>
      </c>
      <c r="AH881" t="n">
        <v>2</v>
      </c>
      <c r="AI881" t="n">
        <v>4</v>
      </c>
      <c r="AJ881" t="n">
        <v>3</v>
      </c>
      <c r="AK881" t="n">
        <v>5</v>
      </c>
      <c r="AL881" t="n">
        <v>1</v>
      </c>
      <c r="AM881" t="n">
        <v>1</v>
      </c>
      <c r="AN881" t="n">
        <v>0</v>
      </c>
      <c r="AO881" t="n">
        <v>0</v>
      </c>
      <c r="AP881" t="inlineStr">
        <is>
          <t>No</t>
        </is>
      </c>
      <c r="AQ881" t="inlineStr">
        <is>
          <t>No</t>
        </is>
      </c>
      <c r="AS881">
        <f>HYPERLINK("https://creighton-primo.hosted.exlibrisgroup.com/primo-explore/search?tab=default_tab&amp;search_scope=EVERYTHING&amp;vid=01CRU&amp;lang=en_US&amp;offset=0&amp;query=any,contains,991004197959702656","Catalog Record")</f>
        <v/>
      </c>
      <c r="AT881">
        <f>HYPERLINK("http://www.worldcat.org/oclc/2645861","WorldCat Record")</f>
        <v/>
      </c>
      <c r="AU881" t="inlineStr">
        <is>
          <t>3768916736:eng</t>
        </is>
      </c>
      <c r="AV881" t="inlineStr">
        <is>
          <t>2645861</t>
        </is>
      </c>
      <c r="AW881" t="inlineStr">
        <is>
          <t>991004197959702656</t>
        </is>
      </c>
      <c r="AX881" t="inlineStr">
        <is>
          <t>991004197959702656</t>
        </is>
      </c>
      <c r="AY881" t="inlineStr">
        <is>
          <t>2254752750002656</t>
        </is>
      </c>
      <c r="AZ881" t="inlineStr">
        <is>
          <t>BOOK</t>
        </is>
      </c>
      <c r="BB881" t="inlineStr">
        <is>
          <t>9780720442175</t>
        </is>
      </c>
      <c r="BC881" t="inlineStr">
        <is>
          <t>32285001791457</t>
        </is>
      </c>
      <c r="BD881" t="inlineStr">
        <is>
          <t>893612065</t>
        </is>
      </c>
    </row>
    <row r="882">
      <c r="A882" t="inlineStr">
        <is>
          <t>No</t>
        </is>
      </c>
      <c r="B882" t="inlineStr">
        <is>
          <t>QD415.A2 S78 v...</t>
        </is>
      </c>
      <c r="C882" t="inlineStr">
        <is>
          <t>0                      QD 0415000A  2                  S  78                                v...</t>
        </is>
      </c>
      <c r="D882" t="inlineStr">
        <is>
          <t>Studies in natural products chemistry / edited by Atta-ur-Rahman.</t>
        </is>
      </c>
      <c r="E882" t="inlineStr">
        <is>
          <t>V.8</t>
        </is>
      </c>
      <c r="F882" t="inlineStr">
        <is>
          <t>No</t>
        </is>
      </c>
      <c r="G882" t="inlineStr">
        <is>
          <t>1</t>
        </is>
      </c>
      <c r="H882" t="inlineStr">
        <is>
          <t>No</t>
        </is>
      </c>
      <c r="I882" t="inlineStr">
        <is>
          <t>No</t>
        </is>
      </c>
      <c r="J882" t="inlineStr">
        <is>
          <t>0</t>
        </is>
      </c>
      <c r="L882" t="inlineStr">
        <is>
          <t>Amsterdam ; New York : Elsevier, 1988-</t>
        </is>
      </c>
      <c r="M882" t="inlineStr">
        <is>
          <t>1988</t>
        </is>
      </c>
      <c r="O882" t="inlineStr">
        <is>
          <t>eng</t>
        </is>
      </c>
      <c r="P882" t="inlineStr">
        <is>
          <t xml:space="preserve">ne </t>
        </is>
      </c>
      <c r="R882" t="inlineStr">
        <is>
          <t xml:space="preserve">QD </t>
        </is>
      </c>
      <c r="S882" t="n">
        <v>1</v>
      </c>
      <c r="T882" t="n">
        <v>1</v>
      </c>
      <c r="U882" t="inlineStr">
        <is>
          <t>2001-04-16</t>
        </is>
      </c>
      <c r="V882" t="inlineStr">
        <is>
          <t>2001-04-16</t>
        </is>
      </c>
      <c r="W882" t="inlineStr">
        <is>
          <t>1992-08-12</t>
        </is>
      </c>
      <c r="X882" t="inlineStr">
        <is>
          <t>1992-08-12</t>
        </is>
      </c>
      <c r="Y882" t="n">
        <v>288</v>
      </c>
      <c r="Z882" t="n">
        <v>190</v>
      </c>
      <c r="AA882" t="n">
        <v>303</v>
      </c>
      <c r="AB882" t="n">
        <v>2</v>
      </c>
      <c r="AC882" t="n">
        <v>5</v>
      </c>
      <c r="AD882" t="n">
        <v>8</v>
      </c>
      <c r="AE882" t="n">
        <v>13</v>
      </c>
      <c r="AF882" t="n">
        <v>2</v>
      </c>
      <c r="AG882" t="n">
        <v>3</v>
      </c>
      <c r="AH882" t="n">
        <v>1</v>
      </c>
      <c r="AI882" t="n">
        <v>2</v>
      </c>
      <c r="AJ882" t="n">
        <v>4</v>
      </c>
      <c r="AK882" t="n">
        <v>4</v>
      </c>
      <c r="AL882" t="n">
        <v>1</v>
      </c>
      <c r="AM882" t="n">
        <v>4</v>
      </c>
      <c r="AN882" t="n">
        <v>0</v>
      </c>
      <c r="AO882" t="n">
        <v>0</v>
      </c>
      <c r="AP882" t="inlineStr">
        <is>
          <t>No</t>
        </is>
      </c>
      <c r="AQ882" t="inlineStr">
        <is>
          <t>Yes</t>
        </is>
      </c>
      <c r="AR882">
        <f>HYPERLINK("http://catalog.hathitrust.org/Record/000921196","HathiTrust Record")</f>
        <v/>
      </c>
      <c r="AS882">
        <f>HYPERLINK("https://creighton-primo.hosted.exlibrisgroup.com/primo-explore/search?tab=default_tab&amp;search_scope=EVERYTHING&amp;vid=01CRU&amp;lang=en_US&amp;offset=0&amp;query=any,contains,991001275549702656","Catalog Record")</f>
        <v/>
      </c>
      <c r="AT882">
        <f>HYPERLINK("http://www.worldcat.org/oclc/17873728","WorldCat Record")</f>
        <v/>
      </c>
      <c r="AU882" t="inlineStr">
        <is>
          <t>5353213660:eng</t>
        </is>
      </c>
      <c r="AV882" t="inlineStr">
        <is>
          <t>17873728</t>
        </is>
      </c>
      <c r="AW882" t="inlineStr">
        <is>
          <t>991001275549702656</t>
        </is>
      </c>
      <c r="AX882" t="inlineStr">
        <is>
          <t>991001275549702656</t>
        </is>
      </c>
      <c r="AY882" t="inlineStr">
        <is>
          <t>2269414880002656</t>
        </is>
      </c>
      <c r="AZ882" t="inlineStr">
        <is>
          <t>BOOK</t>
        </is>
      </c>
      <c r="BB882" t="inlineStr">
        <is>
          <t>9780444889676</t>
        </is>
      </c>
      <c r="BC882" t="inlineStr">
        <is>
          <t>32285001197499</t>
        </is>
      </c>
      <c r="BD882" t="inlineStr">
        <is>
          <t>893432749</t>
        </is>
      </c>
    </row>
    <row r="883">
      <c r="A883" t="inlineStr">
        <is>
          <t>No</t>
        </is>
      </c>
      <c r="B883" t="inlineStr">
        <is>
          <t>QD42 .B85</t>
        </is>
      </c>
      <c r="C883" t="inlineStr">
        <is>
          <t>0                      QD 0042000B  85</t>
        </is>
      </c>
      <c r="D883" t="inlineStr">
        <is>
          <t>The calculus of chemistry, with an introduction to computer programming [by] James Newton Butler [and] Daniel Gureasko Bobrow.</t>
        </is>
      </c>
      <c r="F883" t="inlineStr">
        <is>
          <t>No</t>
        </is>
      </c>
      <c r="G883" t="inlineStr">
        <is>
          <t>1</t>
        </is>
      </c>
      <c r="H883" t="inlineStr">
        <is>
          <t>No</t>
        </is>
      </c>
      <c r="I883" t="inlineStr">
        <is>
          <t>No</t>
        </is>
      </c>
      <c r="J883" t="inlineStr">
        <is>
          <t>0</t>
        </is>
      </c>
      <c r="K883" t="inlineStr">
        <is>
          <t>Butler, James N. (James Newton), 1934-</t>
        </is>
      </c>
      <c r="L883" t="inlineStr">
        <is>
          <t>New York, W.A. Benjamin, 1965.</t>
        </is>
      </c>
      <c r="M883" t="inlineStr">
        <is>
          <t>1965</t>
        </is>
      </c>
      <c r="O883" t="inlineStr">
        <is>
          <t>eng</t>
        </is>
      </c>
      <c r="P883" t="inlineStr">
        <is>
          <t>nyu</t>
        </is>
      </c>
      <c r="R883" t="inlineStr">
        <is>
          <t xml:space="preserve">QD </t>
        </is>
      </c>
      <c r="S883" t="n">
        <v>4</v>
      </c>
      <c r="T883" t="n">
        <v>4</v>
      </c>
      <c r="U883" t="inlineStr">
        <is>
          <t>2005-01-18</t>
        </is>
      </c>
      <c r="V883" t="inlineStr">
        <is>
          <t>2005-01-18</t>
        </is>
      </c>
      <c r="W883" t="inlineStr">
        <is>
          <t>2000-03-07</t>
        </is>
      </c>
      <c r="X883" t="inlineStr">
        <is>
          <t>2000-03-07</t>
        </is>
      </c>
      <c r="Y883" t="n">
        <v>412</v>
      </c>
      <c r="Z883" t="n">
        <v>326</v>
      </c>
      <c r="AA883" t="n">
        <v>334</v>
      </c>
      <c r="AB883" t="n">
        <v>5</v>
      </c>
      <c r="AC883" t="n">
        <v>5</v>
      </c>
      <c r="AD883" t="n">
        <v>18</v>
      </c>
      <c r="AE883" t="n">
        <v>18</v>
      </c>
      <c r="AF883" t="n">
        <v>6</v>
      </c>
      <c r="AG883" t="n">
        <v>6</v>
      </c>
      <c r="AH883" t="n">
        <v>4</v>
      </c>
      <c r="AI883" t="n">
        <v>4</v>
      </c>
      <c r="AJ883" t="n">
        <v>10</v>
      </c>
      <c r="AK883" t="n">
        <v>10</v>
      </c>
      <c r="AL883" t="n">
        <v>4</v>
      </c>
      <c r="AM883" t="n">
        <v>4</v>
      </c>
      <c r="AN883" t="n">
        <v>0</v>
      </c>
      <c r="AO883" t="n">
        <v>0</v>
      </c>
      <c r="AP883" t="inlineStr">
        <is>
          <t>No</t>
        </is>
      </c>
      <c r="AQ883" t="inlineStr">
        <is>
          <t>Yes</t>
        </is>
      </c>
      <c r="AR883">
        <f>HYPERLINK("http://catalog.hathitrust.org/Record/001486866","HathiTrust Record")</f>
        <v/>
      </c>
      <c r="AS883">
        <f>HYPERLINK("https://creighton-primo.hosted.exlibrisgroup.com/primo-explore/search?tab=default_tab&amp;search_scope=EVERYTHING&amp;vid=01CRU&amp;lang=en_US&amp;offset=0&amp;query=any,contains,991002700329702656","Catalog Record")</f>
        <v/>
      </c>
      <c r="AT883">
        <f>HYPERLINK("http://www.worldcat.org/oclc/405303","WorldCat Record")</f>
        <v/>
      </c>
      <c r="AU883" t="inlineStr">
        <is>
          <t>317600883:eng</t>
        </is>
      </c>
      <c r="AV883" t="inlineStr">
        <is>
          <t>405303</t>
        </is>
      </c>
      <c r="AW883" t="inlineStr">
        <is>
          <t>991002700329702656</t>
        </is>
      </c>
      <c r="AX883" t="inlineStr">
        <is>
          <t>991002700329702656</t>
        </is>
      </c>
      <c r="AY883" t="inlineStr">
        <is>
          <t>2260572760002656</t>
        </is>
      </c>
      <c r="AZ883" t="inlineStr">
        <is>
          <t>BOOK</t>
        </is>
      </c>
      <c r="BC883" t="inlineStr">
        <is>
          <t>32285003667705</t>
        </is>
      </c>
      <c r="BD883" t="inlineStr">
        <is>
          <t>893792799</t>
        </is>
      </c>
    </row>
    <row r="884">
      <c r="A884" t="inlineStr">
        <is>
          <t>No</t>
        </is>
      </c>
      <c r="B884" t="inlineStr">
        <is>
          <t>QD42 .G5785 2001</t>
        </is>
      </c>
      <c r="C884" t="inlineStr">
        <is>
          <t>0                      QD 0042000G  5785        2001</t>
        </is>
      </c>
      <c r="D884" t="inlineStr">
        <is>
          <t>How to solve word problems in chemistry / David E. Goldberg.</t>
        </is>
      </c>
      <c r="F884" t="inlineStr">
        <is>
          <t>No</t>
        </is>
      </c>
      <c r="G884" t="inlineStr">
        <is>
          <t>1</t>
        </is>
      </c>
      <c r="H884" t="inlineStr">
        <is>
          <t>No</t>
        </is>
      </c>
      <c r="I884" t="inlineStr">
        <is>
          <t>No</t>
        </is>
      </c>
      <c r="J884" t="inlineStr">
        <is>
          <t>0</t>
        </is>
      </c>
      <c r="K884" t="inlineStr">
        <is>
          <t>Goldberg, David E. (David Elliott), 1932-</t>
        </is>
      </c>
      <c r="L884" t="inlineStr">
        <is>
          <t>New York : McGraw-Hill, c2001.</t>
        </is>
      </c>
      <c r="M884" t="inlineStr">
        <is>
          <t>2001</t>
        </is>
      </c>
      <c r="O884" t="inlineStr">
        <is>
          <t>eng</t>
        </is>
      </c>
      <c r="P884" t="inlineStr">
        <is>
          <t>nyu</t>
        </is>
      </c>
      <c r="R884" t="inlineStr">
        <is>
          <t xml:space="preserve">QD </t>
        </is>
      </c>
      <c r="S884" t="n">
        <v>10</v>
      </c>
      <c r="T884" t="n">
        <v>10</v>
      </c>
      <c r="U884" t="inlineStr">
        <is>
          <t>2006-12-03</t>
        </is>
      </c>
      <c r="V884" t="inlineStr">
        <is>
          <t>2006-12-03</t>
        </is>
      </c>
      <c r="W884" t="inlineStr">
        <is>
          <t>2001-09-13</t>
        </is>
      </c>
      <c r="X884" t="inlineStr">
        <is>
          <t>2001-09-13</t>
        </is>
      </c>
      <c r="Y884" t="n">
        <v>350</v>
      </c>
      <c r="Z884" t="n">
        <v>308</v>
      </c>
      <c r="AA884" t="n">
        <v>511</v>
      </c>
      <c r="AB884" t="n">
        <v>1</v>
      </c>
      <c r="AC884" t="n">
        <v>3</v>
      </c>
      <c r="AD884" t="n">
        <v>3</v>
      </c>
      <c r="AE884" t="n">
        <v>9</v>
      </c>
      <c r="AF884" t="n">
        <v>1</v>
      </c>
      <c r="AG884" t="n">
        <v>3</v>
      </c>
      <c r="AH884" t="n">
        <v>1</v>
      </c>
      <c r="AI884" t="n">
        <v>2</v>
      </c>
      <c r="AJ884" t="n">
        <v>2</v>
      </c>
      <c r="AK884" t="n">
        <v>4</v>
      </c>
      <c r="AL884" t="n">
        <v>0</v>
      </c>
      <c r="AM884" t="n">
        <v>2</v>
      </c>
      <c r="AN884" t="n">
        <v>0</v>
      </c>
      <c r="AO884" t="n">
        <v>0</v>
      </c>
      <c r="AP884" t="inlineStr">
        <is>
          <t>No</t>
        </is>
      </c>
      <c r="AQ884" t="inlineStr">
        <is>
          <t>No</t>
        </is>
      </c>
      <c r="AS884">
        <f>HYPERLINK("https://creighton-primo.hosted.exlibrisgroup.com/primo-explore/search?tab=default_tab&amp;search_scope=EVERYTHING&amp;vid=01CRU&amp;lang=en_US&amp;offset=0&amp;query=any,contains,991003605869702656","Catalog Record")</f>
        <v/>
      </c>
      <c r="AT884">
        <f>HYPERLINK("http://www.worldcat.org/oclc/46394238","WorldCat Record")</f>
        <v/>
      </c>
      <c r="AU884" t="inlineStr">
        <is>
          <t>888690:eng</t>
        </is>
      </c>
      <c r="AV884" t="inlineStr">
        <is>
          <t>46394238</t>
        </is>
      </c>
      <c r="AW884" t="inlineStr">
        <is>
          <t>991003605869702656</t>
        </is>
      </c>
      <c r="AX884" t="inlineStr">
        <is>
          <t>991003605869702656</t>
        </is>
      </c>
      <c r="AY884" t="inlineStr">
        <is>
          <t>2269228720002656</t>
        </is>
      </c>
      <c r="AZ884" t="inlineStr">
        <is>
          <t>BOOK</t>
        </is>
      </c>
      <c r="BB884" t="inlineStr">
        <is>
          <t>9780071363020</t>
        </is>
      </c>
      <c r="BC884" t="inlineStr">
        <is>
          <t>32285004391479</t>
        </is>
      </c>
      <c r="BD884" t="inlineStr">
        <is>
          <t>893518667</t>
        </is>
      </c>
    </row>
    <row r="885">
      <c r="A885" t="inlineStr">
        <is>
          <t>No</t>
        </is>
      </c>
      <c r="B885" t="inlineStr">
        <is>
          <t>QD42 .H56 1983</t>
        </is>
      </c>
      <c r="C885" t="inlineStr">
        <is>
          <t>0                      QD 0042000H  56          1983</t>
        </is>
      </c>
      <c r="D885" t="inlineStr">
        <is>
          <t>Solving problems in chemistry / Gary K. Himes ; consultants, Robert C. Smoot, Richard G. Smith.</t>
        </is>
      </c>
      <c r="F885" t="inlineStr">
        <is>
          <t>No</t>
        </is>
      </c>
      <c r="G885" t="inlineStr">
        <is>
          <t>1</t>
        </is>
      </c>
      <c r="H885" t="inlineStr">
        <is>
          <t>No</t>
        </is>
      </c>
      <c r="I885" t="inlineStr">
        <is>
          <t>No</t>
        </is>
      </c>
      <c r="J885" t="inlineStr">
        <is>
          <t>0</t>
        </is>
      </c>
      <c r="K885" t="inlineStr">
        <is>
          <t>Himes, Gary K.</t>
        </is>
      </c>
      <c r="L885" t="inlineStr">
        <is>
          <t>Columbus, Ohio : C.E. Merrill, c1983.</t>
        </is>
      </c>
      <c r="M885" t="inlineStr">
        <is>
          <t>1983</t>
        </is>
      </c>
      <c r="N885" t="inlineStr">
        <is>
          <t>[5th ed.]</t>
        </is>
      </c>
      <c r="O885" t="inlineStr">
        <is>
          <t>eng</t>
        </is>
      </c>
      <c r="P885" t="inlineStr">
        <is>
          <t>ohu</t>
        </is>
      </c>
      <c r="Q885" t="inlineStr">
        <is>
          <t>A Merrill science text</t>
        </is>
      </c>
      <c r="R885" t="inlineStr">
        <is>
          <t xml:space="preserve">QD </t>
        </is>
      </c>
      <c r="S885" t="n">
        <v>8</v>
      </c>
      <c r="T885" t="n">
        <v>8</v>
      </c>
      <c r="U885" t="inlineStr">
        <is>
          <t>2009-09-09</t>
        </is>
      </c>
      <c r="V885" t="inlineStr">
        <is>
          <t>2009-09-09</t>
        </is>
      </c>
      <c r="W885" t="inlineStr">
        <is>
          <t>2000-11-08</t>
        </is>
      </c>
      <c r="X885" t="inlineStr">
        <is>
          <t>2000-11-08</t>
        </is>
      </c>
      <c r="Y885" t="n">
        <v>18</v>
      </c>
      <c r="Z885" t="n">
        <v>18</v>
      </c>
      <c r="AA885" t="n">
        <v>73</v>
      </c>
      <c r="AB885" t="n">
        <v>1</v>
      </c>
      <c r="AC885" t="n">
        <v>1</v>
      </c>
      <c r="AD885" t="n">
        <v>0</v>
      </c>
      <c r="AE885" t="n">
        <v>1</v>
      </c>
      <c r="AF885" t="n">
        <v>0</v>
      </c>
      <c r="AG885" t="n">
        <v>0</v>
      </c>
      <c r="AH885" t="n">
        <v>0</v>
      </c>
      <c r="AI885" t="n">
        <v>1</v>
      </c>
      <c r="AJ885" t="n">
        <v>0</v>
      </c>
      <c r="AK885" t="n">
        <v>1</v>
      </c>
      <c r="AL885" t="n">
        <v>0</v>
      </c>
      <c r="AM885" t="n">
        <v>0</v>
      </c>
      <c r="AN885" t="n">
        <v>0</v>
      </c>
      <c r="AO885" t="n">
        <v>0</v>
      </c>
      <c r="AP885" t="inlineStr">
        <is>
          <t>No</t>
        </is>
      </c>
      <c r="AQ885" t="inlineStr">
        <is>
          <t>No</t>
        </is>
      </c>
      <c r="AS885">
        <f>HYPERLINK("https://creighton-primo.hosted.exlibrisgroup.com/primo-explore/search?tab=default_tab&amp;search_scope=EVERYTHING&amp;vid=01CRU&amp;lang=en_US&amp;offset=0&amp;query=any,contains,991003340209702656","Catalog Record")</f>
        <v/>
      </c>
      <c r="AT885">
        <f>HYPERLINK("http://www.worldcat.org/oclc/9144477","WorldCat Record")</f>
        <v/>
      </c>
      <c r="AU885" t="inlineStr">
        <is>
          <t>430999:eng</t>
        </is>
      </c>
      <c r="AV885" t="inlineStr">
        <is>
          <t>9144477</t>
        </is>
      </c>
      <c r="AW885" t="inlineStr">
        <is>
          <t>991003340209702656</t>
        </is>
      </c>
      <c r="AX885" t="inlineStr">
        <is>
          <t>991003340209702656</t>
        </is>
      </c>
      <c r="AY885" t="inlineStr">
        <is>
          <t>2267452310002656</t>
        </is>
      </c>
      <c r="AZ885" t="inlineStr">
        <is>
          <t>BOOK</t>
        </is>
      </c>
      <c r="BC885" t="inlineStr">
        <is>
          <t>32285002227709</t>
        </is>
      </c>
      <c r="BD885" t="inlineStr">
        <is>
          <t>893604699</t>
        </is>
      </c>
    </row>
    <row r="886">
      <c r="A886" t="inlineStr">
        <is>
          <t>No</t>
        </is>
      </c>
      <c r="B886" t="inlineStr">
        <is>
          <t>QD42 .L59 1982</t>
        </is>
      </c>
      <c r="C886" t="inlineStr">
        <is>
          <t>0                      QD 0042000L  59          1982</t>
        </is>
      </c>
      <c r="D886" t="inlineStr">
        <is>
          <t>Problem exercises for general chemistry / G. Gilbert Long, Forrest C. Hentz.</t>
        </is>
      </c>
      <c r="F886" t="inlineStr">
        <is>
          <t>No</t>
        </is>
      </c>
      <c r="G886" t="inlineStr">
        <is>
          <t>1</t>
        </is>
      </c>
      <c r="H886" t="inlineStr">
        <is>
          <t>No</t>
        </is>
      </c>
      <c r="I886" t="inlineStr">
        <is>
          <t>No</t>
        </is>
      </c>
      <c r="J886" t="inlineStr">
        <is>
          <t>0</t>
        </is>
      </c>
      <c r="K886" t="inlineStr">
        <is>
          <t>Long, G. Gilbert (George Gilbert), 1929-</t>
        </is>
      </c>
      <c r="L886" t="inlineStr">
        <is>
          <t>New York : Wiley, c1982.</t>
        </is>
      </c>
      <c r="M886" t="inlineStr">
        <is>
          <t>1982</t>
        </is>
      </c>
      <c r="N886" t="inlineStr">
        <is>
          <t>2nd. ed.</t>
        </is>
      </c>
      <c r="O886" t="inlineStr">
        <is>
          <t>eng</t>
        </is>
      </c>
      <c r="P886" t="inlineStr">
        <is>
          <t>nyu</t>
        </is>
      </c>
      <c r="R886" t="inlineStr">
        <is>
          <t xml:space="preserve">QD </t>
        </is>
      </c>
      <c r="S886" t="n">
        <v>8</v>
      </c>
      <c r="T886" t="n">
        <v>8</v>
      </c>
      <c r="U886" t="inlineStr">
        <is>
          <t>2007-04-28</t>
        </is>
      </c>
      <c r="V886" t="inlineStr">
        <is>
          <t>2007-04-28</t>
        </is>
      </c>
      <c r="W886" t="inlineStr">
        <is>
          <t>1992-04-30</t>
        </is>
      </c>
      <c r="X886" t="inlineStr">
        <is>
          <t>1992-04-30</t>
        </is>
      </c>
      <c r="Y886" t="n">
        <v>65</v>
      </c>
      <c r="Z886" t="n">
        <v>48</v>
      </c>
      <c r="AA886" t="n">
        <v>99</v>
      </c>
      <c r="AB886" t="n">
        <v>1</v>
      </c>
      <c r="AC886" t="n">
        <v>2</v>
      </c>
      <c r="AD886" t="n">
        <v>1</v>
      </c>
      <c r="AE886" t="n">
        <v>3</v>
      </c>
      <c r="AF886" t="n">
        <v>1</v>
      </c>
      <c r="AG886" t="n">
        <v>1</v>
      </c>
      <c r="AH886" t="n">
        <v>0</v>
      </c>
      <c r="AI886" t="n">
        <v>1</v>
      </c>
      <c r="AJ886" t="n">
        <v>1</v>
      </c>
      <c r="AK886" t="n">
        <v>2</v>
      </c>
      <c r="AL886" t="n">
        <v>0</v>
      </c>
      <c r="AM886" t="n">
        <v>1</v>
      </c>
      <c r="AN886" t="n">
        <v>0</v>
      </c>
      <c r="AO886" t="n">
        <v>0</v>
      </c>
      <c r="AP886" t="inlineStr">
        <is>
          <t>No</t>
        </is>
      </c>
      <c r="AQ886" t="inlineStr">
        <is>
          <t>Yes</t>
        </is>
      </c>
      <c r="AR886">
        <f>HYPERLINK("http://catalog.hathitrust.org/Record/000270288","HathiTrust Record")</f>
        <v/>
      </c>
      <c r="AS886">
        <f>HYPERLINK("https://creighton-primo.hosted.exlibrisgroup.com/primo-explore/search?tab=default_tab&amp;search_scope=EVERYTHING&amp;vid=01CRU&amp;lang=en_US&amp;offset=0&amp;query=any,contains,991005187959702656","Catalog Record")</f>
        <v/>
      </c>
      <c r="AT886">
        <f>HYPERLINK("http://www.worldcat.org/oclc/7978040","WorldCat Record")</f>
        <v/>
      </c>
      <c r="AU886" t="inlineStr">
        <is>
          <t>7969531:eng</t>
        </is>
      </c>
      <c r="AV886" t="inlineStr">
        <is>
          <t>7978040</t>
        </is>
      </c>
      <c r="AW886" t="inlineStr">
        <is>
          <t>991005187959702656</t>
        </is>
      </c>
      <c r="AX886" t="inlineStr">
        <is>
          <t>991005187959702656</t>
        </is>
      </c>
      <c r="AY886" t="inlineStr">
        <is>
          <t>2271566670002656</t>
        </is>
      </c>
      <c r="AZ886" t="inlineStr">
        <is>
          <t>BOOK</t>
        </is>
      </c>
      <c r="BB886" t="inlineStr">
        <is>
          <t>9780471082514</t>
        </is>
      </c>
      <c r="BC886" t="inlineStr">
        <is>
          <t>32285001120095</t>
        </is>
      </c>
      <c r="BD886" t="inlineStr">
        <is>
          <t>893338676</t>
        </is>
      </c>
    </row>
    <row r="887">
      <c r="A887" t="inlineStr">
        <is>
          <t>No</t>
        </is>
      </c>
      <c r="B887" t="inlineStr">
        <is>
          <t>QD42 .M335</t>
        </is>
      </c>
      <c r="C887" t="inlineStr">
        <is>
          <t>0                      QD 0042000M  335</t>
        </is>
      </c>
      <c r="D887" t="inlineStr">
        <is>
          <t>Mathematical preparation for general chemistry / [by] William L. Masterton [and] Emil J. Slowinski.</t>
        </is>
      </c>
      <c r="F887" t="inlineStr">
        <is>
          <t>No</t>
        </is>
      </c>
      <c r="G887" t="inlineStr">
        <is>
          <t>1</t>
        </is>
      </c>
      <c r="H887" t="inlineStr">
        <is>
          <t>No</t>
        </is>
      </c>
      <c r="I887" t="inlineStr">
        <is>
          <t>No</t>
        </is>
      </c>
      <c r="J887" t="inlineStr">
        <is>
          <t>0</t>
        </is>
      </c>
      <c r="K887" t="inlineStr">
        <is>
          <t>Masterton, William L., 1927-</t>
        </is>
      </c>
      <c r="L887" t="inlineStr">
        <is>
          <t>Philadelphia : Saunders, 1970.</t>
        </is>
      </c>
      <c r="M887" t="inlineStr">
        <is>
          <t>1970</t>
        </is>
      </c>
      <c r="O887" t="inlineStr">
        <is>
          <t>eng</t>
        </is>
      </c>
      <c r="P887" t="inlineStr">
        <is>
          <t>pau</t>
        </is>
      </c>
      <c r="Q887" t="inlineStr">
        <is>
          <t>Saunders golden series</t>
        </is>
      </c>
      <c r="R887" t="inlineStr">
        <is>
          <t xml:space="preserve">QD </t>
        </is>
      </c>
      <c r="S887" t="n">
        <v>3</v>
      </c>
      <c r="T887" t="n">
        <v>3</v>
      </c>
      <c r="U887" t="inlineStr">
        <is>
          <t>2009-09-02</t>
        </is>
      </c>
      <c r="V887" t="inlineStr">
        <is>
          <t>2009-09-02</t>
        </is>
      </c>
      <c r="W887" t="inlineStr">
        <is>
          <t>1995-03-23</t>
        </is>
      </c>
      <c r="X887" t="inlineStr">
        <is>
          <t>1995-03-23</t>
        </is>
      </c>
      <c r="Y887" t="n">
        <v>224</v>
      </c>
      <c r="Z887" t="n">
        <v>168</v>
      </c>
      <c r="AA887" t="n">
        <v>223</v>
      </c>
      <c r="AB887" t="n">
        <v>4</v>
      </c>
      <c r="AC887" t="n">
        <v>4</v>
      </c>
      <c r="AD887" t="n">
        <v>5</v>
      </c>
      <c r="AE887" t="n">
        <v>5</v>
      </c>
      <c r="AF887" t="n">
        <v>1</v>
      </c>
      <c r="AG887" t="n">
        <v>1</v>
      </c>
      <c r="AH887" t="n">
        <v>0</v>
      </c>
      <c r="AI887" t="n">
        <v>0</v>
      </c>
      <c r="AJ887" t="n">
        <v>2</v>
      </c>
      <c r="AK887" t="n">
        <v>2</v>
      </c>
      <c r="AL887" t="n">
        <v>3</v>
      </c>
      <c r="AM887" t="n">
        <v>3</v>
      </c>
      <c r="AN887" t="n">
        <v>0</v>
      </c>
      <c r="AO887" t="n">
        <v>0</v>
      </c>
      <c r="AP887" t="inlineStr">
        <is>
          <t>No</t>
        </is>
      </c>
      <c r="AQ887" t="inlineStr">
        <is>
          <t>Yes</t>
        </is>
      </c>
      <c r="AR887">
        <f>HYPERLINK("http://catalog.hathitrust.org/Record/001486879","HathiTrust Record")</f>
        <v/>
      </c>
      <c r="AS887">
        <f>HYPERLINK("https://creighton-primo.hosted.exlibrisgroup.com/primo-explore/search?tab=default_tab&amp;search_scope=EVERYTHING&amp;vid=01CRU&amp;lang=en_US&amp;offset=0&amp;query=any,contains,991000494839702656","Catalog Record")</f>
        <v/>
      </c>
      <c r="AT887">
        <f>HYPERLINK("http://www.worldcat.org/oclc/80752","WorldCat Record")</f>
        <v/>
      </c>
      <c r="AU887" t="inlineStr">
        <is>
          <t>401622:eng</t>
        </is>
      </c>
      <c r="AV887" t="inlineStr">
        <is>
          <t>80752</t>
        </is>
      </c>
      <c r="AW887" t="inlineStr">
        <is>
          <t>991000494839702656</t>
        </is>
      </c>
      <c r="AX887" t="inlineStr">
        <is>
          <t>991000494839702656</t>
        </is>
      </c>
      <c r="AY887" t="inlineStr">
        <is>
          <t>2271719680002656</t>
        </is>
      </c>
      <c r="AZ887" t="inlineStr">
        <is>
          <t>BOOK</t>
        </is>
      </c>
      <c r="BC887" t="inlineStr">
        <is>
          <t>32285002013612</t>
        </is>
      </c>
      <c r="BD887" t="inlineStr">
        <is>
          <t>893796700</t>
        </is>
      </c>
    </row>
    <row r="888">
      <c r="A888" t="inlineStr">
        <is>
          <t>No</t>
        </is>
      </c>
      <c r="B888" t="inlineStr">
        <is>
          <t>QD42 .N35 1988</t>
        </is>
      </c>
      <c r="C888" t="inlineStr">
        <is>
          <t>0                      QD 0042000N  35          1988</t>
        </is>
      </c>
      <c r="D888" t="inlineStr">
        <is>
          <t>Chemical problem solving using dimensional analysis / Robert Nakon.</t>
        </is>
      </c>
      <c r="F888" t="inlineStr">
        <is>
          <t>No</t>
        </is>
      </c>
      <c r="G888" t="inlineStr">
        <is>
          <t>1</t>
        </is>
      </c>
      <c r="H888" t="inlineStr">
        <is>
          <t>No</t>
        </is>
      </c>
      <c r="I888" t="inlineStr">
        <is>
          <t>No</t>
        </is>
      </c>
      <c r="J888" t="inlineStr">
        <is>
          <t>0</t>
        </is>
      </c>
      <c r="K888" t="inlineStr">
        <is>
          <t>Nakon, Robert.</t>
        </is>
      </c>
      <c r="L888" t="inlineStr">
        <is>
          <t>Englewood Cliffs, N.J. : Prentice Hall, c1988.</t>
        </is>
      </c>
      <c r="M888" t="inlineStr">
        <is>
          <t>1988</t>
        </is>
      </c>
      <c r="N888" t="inlineStr">
        <is>
          <t>2nd ed.</t>
        </is>
      </c>
      <c r="O888" t="inlineStr">
        <is>
          <t>eng</t>
        </is>
      </c>
      <c r="P888" t="inlineStr">
        <is>
          <t>nju</t>
        </is>
      </c>
      <c r="R888" t="inlineStr">
        <is>
          <t xml:space="preserve">QD </t>
        </is>
      </c>
      <c r="S888" t="n">
        <v>13</v>
      </c>
      <c r="T888" t="n">
        <v>13</v>
      </c>
      <c r="U888" t="inlineStr">
        <is>
          <t>1995-09-16</t>
        </is>
      </c>
      <c r="V888" t="inlineStr">
        <is>
          <t>1995-09-16</t>
        </is>
      </c>
      <c r="W888" t="inlineStr">
        <is>
          <t>1992-04-30</t>
        </is>
      </c>
      <c r="X888" t="inlineStr">
        <is>
          <t>1992-04-30</t>
        </is>
      </c>
      <c r="Y888" t="n">
        <v>45</v>
      </c>
      <c r="Z888" t="n">
        <v>37</v>
      </c>
      <c r="AA888" t="n">
        <v>101</v>
      </c>
      <c r="AB888" t="n">
        <v>1</v>
      </c>
      <c r="AC888" t="n">
        <v>2</v>
      </c>
      <c r="AD888" t="n">
        <v>2</v>
      </c>
      <c r="AE888" t="n">
        <v>3</v>
      </c>
      <c r="AF888" t="n">
        <v>0</v>
      </c>
      <c r="AG888" t="n">
        <v>0</v>
      </c>
      <c r="AH888" t="n">
        <v>1</v>
      </c>
      <c r="AI888" t="n">
        <v>1</v>
      </c>
      <c r="AJ888" t="n">
        <v>2</v>
      </c>
      <c r="AK888" t="n">
        <v>2</v>
      </c>
      <c r="AL888" t="n">
        <v>0</v>
      </c>
      <c r="AM888" t="n">
        <v>1</v>
      </c>
      <c r="AN888" t="n">
        <v>0</v>
      </c>
      <c r="AO888" t="n">
        <v>0</v>
      </c>
      <c r="AP888" t="inlineStr">
        <is>
          <t>No</t>
        </is>
      </c>
      <c r="AQ888" t="inlineStr">
        <is>
          <t>Yes</t>
        </is>
      </c>
      <c r="AR888">
        <f>HYPERLINK("http://catalog.hathitrust.org/Record/007075347","HathiTrust Record")</f>
        <v/>
      </c>
      <c r="AS888">
        <f>HYPERLINK("https://creighton-primo.hosted.exlibrisgroup.com/primo-explore/search?tab=default_tab&amp;search_scope=EVERYTHING&amp;vid=01CRU&amp;lang=en_US&amp;offset=0&amp;query=any,contains,991001237689702656","Catalog Record")</f>
        <v/>
      </c>
      <c r="AT888">
        <f>HYPERLINK("http://www.worldcat.org/oclc/17557356","WorldCat Record")</f>
        <v/>
      </c>
      <c r="AU888" t="inlineStr">
        <is>
          <t>15043202:eng</t>
        </is>
      </c>
      <c r="AV888" t="inlineStr">
        <is>
          <t>17557356</t>
        </is>
      </c>
      <c r="AW888" t="inlineStr">
        <is>
          <t>991001237689702656</t>
        </is>
      </c>
      <c r="AX888" t="inlineStr">
        <is>
          <t>991001237689702656</t>
        </is>
      </c>
      <c r="AY888" t="inlineStr">
        <is>
          <t>2266238150002656</t>
        </is>
      </c>
      <c r="AZ888" t="inlineStr">
        <is>
          <t>BOOK</t>
        </is>
      </c>
      <c r="BB888" t="inlineStr">
        <is>
          <t>9780131286795</t>
        </is>
      </c>
      <c r="BC888" t="inlineStr">
        <is>
          <t>32285001120103</t>
        </is>
      </c>
      <c r="BD888" t="inlineStr">
        <is>
          <t>893803472</t>
        </is>
      </c>
    </row>
    <row r="889">
      <c r="A889" t="inlineStr">
        <is>
          <t>No</t>
        </is>
      </c>
      <c r="B889" t="inlineStr">
        <is>
          <t>QD42 .P45</t>
        </is>
      </c>
      <c r="C889" t="inlineStr">
        <is>
          <t>0                      QD 0042000P  45</t>
        </is>
      </c>
      <c r="D889" t="inlineStr">
        <is>
          <t>Mathematics for chemists / [by] Charles L. Perrin.</t>
        </is>
      </c>
      <c r="F889" t="inlineStr">
        <is>
          <t>No</t>
        </is>
      </c>
      <c r="G889" t="inlineStr">
        <is>
          <t>1</t>
        </is>
      </c>
      <c r="H889" t="inlineStr">
        <is>
          <t>No</t>
        </is>
      </c>
      <c r="I889" t="inlineStr">
        <is>
          <t>No</t>
        </is>
      </c>
      <c r="J889" t="inlineStr">
        <is>
          <t>0</t>
        </is>
      </c>
      <c r="K889" t="inlineStr">
        <is>
          <t>Perrin, Charles L.</t>
        </is>
      </c>
      <c r="L889" t="inlineStr">
        <is>
          <t>New York : Wiley-Interscience, [1970]</t>
        </is>
      </c>
      <c r="M889" t="inlineStr">
        <is>
          <t>1970</t>
        </is>
      </c>
      <c r="O889" t="inlineStr">
        <is>
          <t>eng</t>
        </is>
      </c>
      <c r="P889" t="inlineStr">
        <is>
          <t>nyu</t>
        </is>
      </c>
      <c r="R889" t="inlineStr">
        <is>
          <t xml:space="preserve">QD </t>
        </is>
      </c>
      <c r="S889" t="n">
        <v>8</v>
      </c>
      <c r="T889" t="n">
        <v>8</v>
      </c>
      <c r="U889" t="inlineStr">
        <is>
          <t>2005-01-18</t>
        </is>
      </c>
      <c r="V889" t="inlineStr">
        <is>
          <t>2005-01-18</t>
        </is>
      </c>
      <c r="W889" t="inlineStr">
        <is>
          <t>1991-09-27</t>
        </is>
      </c>
      <c r="X889" t="inlineStr">
        <is>
          <t>1991-09-27</t>
        </is>
      </c>
      <c r="Y889" t="n">
        <v>656</v>
      </c>
      <c r="Z889" t="n">
        <v>504</v>
      </c>
      <c r="AA889" t="n">
        <v>509</v>
      </c>
      <c r="AB889" t="n">
        <v>7</v>
      </c>
      <c r="AC889" t="n">
        <v>7</v>
      </c>
      <c r="AD889" t="n">
        <v>16</v>
      </c>
      <c r="AE889" t="n">
        <v>16</v>
      </c>
      <c r="AF889" t="n">
        <v>5</v>
      </c>
      <c r="AG889" t="n">
        <v>5</v>
      </c>
      <c r="AH889" t="n">
        <v>3</v>
      </c>
      <c r="AI889" t="n">
        <v>3</v>
      </c>
      <c r="AJ889" t="n">
        <v>5</v>
      </c>
      <c r="AK889" t="n">
        <v>5</v>
      </c>
      <c r="AL889" t="n">
        <v>6</v>
      </c>
      <c r="AM889" t="n">
        <v>6</v>
      </c>
      <c r="AN889" t="n">
        <v>0</v>
      </c>
      <c r="AO889" t="n">
        <v>0</v>
      </c>
      <c r="AP889" t="inlineStr">
        <is>
          <t>No</t>
        </is>
      </c>
      <c r="AQ889" t="inlineStr">
        <is>
          <t>No</t>
        </is>
      </c>
      <c r="AS889">
        <f>HYPERLINK("https://creighton-primo.hosted.exlibrisgroup.com/primo-explore/search?tab=default_tab&amp;search_scope=EVERYTHING&amp;vid=01CRU&amp;lang=en_US&amp;offset=0&amp;query=any,contains,991000613019702656","Catalog Record")</f>
        <v/>
      </c>
      <c r="AT889">
        <f>HYPERLINK("http://www.worldcat.org/oclc/100861","WorldCat Record")</f>
        <v/>
      </c>
      <c r="AU889" t="inlineStr">
        <is>
          <t>180437089:eng</t>
        </is>
      </c>
      <c r="AV889" t="inlineStr">
        <is>
          <t>100861</t>
        </is>
      </c>
      <c r="AW889" t="inlineStr">
        <is>
          <t>991000613019702656</t>
        </is>
      </c>
      <c r="AX889" t="inlineStr">
        <is>
          <t>991000613019702656</t>
        </is>
      </c>
      <c r="AY889" t="inlineStr">
        <is>
          <t>2258404460002656</t>
        </is>
      </c>
      <c r="AZ889" t="inlineStr">
        <is>
          <t>BOOK</t>
        </is>
      </c>
      <c r="BB889" t="inlineStr">
        <is>
          <t>9780471680697</t>
        </is>
      </c>
      <c r="BC889" t="inlineStr">
        <is>
          <t>32285000760156</t>
        </is>
      </c>
      <c r="BD889" t="inlineStr">
        <is>
          <t>893515432</t>
        </is>
      </c>
    </row>
    <row r="890">
      <c r="A890" t="inlineStr">
        <is>
          <t>No</t>
        </is>
      </c>
      <c r="B890" t="inlineStr">
        <is>
          <t>QD42 .P46 1988</t>
        </is>
      </c>
      <c r="C890" t="inlineStr">
        <is>
          <t>0                      QD 0042000P  46          1988</t>
        </is>
      </c>
      <c r="D890" t="inlineStr">
        <is>
          <t>Chemical skills / Edward I. Peters, William Scroggins.</t>
        </is>
      </c>
      <c r="F890" t="inlineStr">
        <is>
          <t>No</t>
        </is>
      </c>
      <c r="G890" t="inlineStr">
        <is>
          <t>1</t>
        </is>
      </c>
      <c r="H890" t="inlineStr">
        <is>
          <t>No</t>
        </is>
      </c>
      <c r="I890" t="inlineStr">
        <is>
          <t>No</t>
        </is>
      </c>
      <c r="J890" t="inlineStr">
        <is>
          <t>0</t>
        </is>
      </c>
      <c r="K890" t="inlineStr">
        <is>
          <t>Peters, Edward I.</t>
        </is>
      </c>
      <c r="L890" t="inlineStr">
        <is>
          <t>New York : McGraw-Hill, c1988.</t>
        </is>
      </c>
      <c r="M890" t="inlineStr">
        <is>
          <t>1988</t>
        </is>
      </c>
      <c r="N890" t="inlineStr">
        <is>
          <t>3rd ed.</t>
        </is>
      </c>
      <c r="O890" t="inlineStr">
        <is>
          <t>eng</t>
        </is>
      </c>
      <c r="P890" t="inlineStr">
        <is>
          <t>nyu</t>
        </is>
      </c>
      <c r="R890" t="inlineStr">
        <is>
          <t xml:space="preserve">QD </t>
        </is>
      </c>
      <c r="S890" t="n">
        <v>19</v>
      </c>
      <c r="T890" t="n">
        <v>19</v>
      </c>
      <c r="U890" t="inlineStr">
        <is>
          <t>2003-03-10</t>
        </is>
      </c>
      <c r="V890" t="inlineStr">
        <is>
          <t>2003-03-10</t>
        </is>
      </c>
      <c r="W890" t="inlineStr">
        <is>
          <t>1991-10-23</t>
        </is>
      </c>
      <c r="X890" t="inlineStr">
        <is>
          <t>1991-10-23</t>
        </is>
      </c>
      <c r="Y890" t="n">
        <v>74</v>
      </c>
      <c r="Z890" t="n">
        <v>50</v>
      </c>
      <c r="AA890" t="n">
        <v>130</v>
      </c>
      <c r="AB890" t="n">
        <v>1</v>
      </c>
      <c r="AC890" t="n">
        <v>1</v>
      </c>
      <c r="AD890" t="n">
        <v>2</v>
      </c>
      <c r="AE890" t="n">
        <v>3</v>
      </c>
      <c r="AF890" t="n">
        <v>1</v>
      </c>
      <c r="AG890" t="n">
        <v>2</v>
      </c>
      <c r="AH890" t="n">
        <v>0</v>
      </c>
      <c r="AI890" t="n">
        <v>0</v>
      </c>
      <c r="AJ890" t="n">
        <v>2</v>
      </c>
      <c r="AK890" t="n">
        <v>2</v>
      </c>
      <c r="AL890" t="n">
        <v>0</v>
      </c>
      <c r="AM890" t="n">
        <v>0</v>
      </c>
      <c r="AN890" t="n">
        <v>0</v>
      </c>
      <c r="AO890" t="n">
        <v>0</v>
      </c>
      <c r="AP890" t="inlineStr">
        <is>
          <t>No</t>
        </is>
      </c>
      <c r="AQ890" t="inlineStr">
        <is>
          <t>No</t>
        </is>
      </c>
      <c r="AS890">
        <f>HYPERLINK("https://creighton-primo.hosted.exlibrisgroup.com/primo-explore/search?tab=default_tab&amp;search_scope=EVERYTHING&amp;vid=01CRU&amp;lang=en_US&amp;offset=0&amp;query=any,contains,991001169529702656","Catalog Record")</f>
        <v/>
      </c>
      <c r="AT890">
        <f>HYPERLINK("http://www.worldcat.org/oclc/16950203","WorldCat Record")</f>
        <v/>
      </c>
      <c r="AU890" t="inlineStr">
        <is>
          <t>13064870:eng</t>
        </is>
      </c>
      <c r="AV890" t="inlineStr">
        <is>
          <t>16950203</t>
        </is>
      </c>
      <c r="AW890" t="inlineStr">
        <is>
          <t>991001169529702656</t>
        </is>
      </c>
      <c r="AX890" t="inlineStr">
        <is>
          <t>991001169529702656</t>
        </is>
      </c>
      <c r="AY890" t="inlineStr">
        <is>
          <t>2262839070002656</t>
        </is>
      </c>
      <c r="AZ890" t="inlineStr">
        <is>
          <t>BOOK</t>
        </is>
      </c>
      <c r="BB890" t="inlineStr">
        <is>
          <t>9780070495593</t>
        </is>
      </c>
      <c r="BC890" t="inlineStr">
        <is>
          <t>32285000779487</t>
        </is>
      </c>
      <c r="BD890" t="inlineStr">
        <is>
          <t>893496880</t>
        </is>
      </c>
    </row>
    <row r="891">
      <c r="A891" t="inlineStr">
        <is>
          <t>No</t>
        </is>
      </c>
      <c r="B891" t="inlineStr">
        <is>
          <t>QD42 .P53</t>
        </is>
      </c>
      <c r="C891" t="inlineStr">
        <is>
          <t>0                      QD 0042000P  53</t>
        </is>
      </c>
      <c r="D891" t="inlineStr">
        <is>
          <t>General chemistry workbook; how to solve chemistry problems [by] Conway Pierce, R. Nelson Smith.</t>
        </is>
      </c>
      <c r="F891" t="inlineStr">
        <is>
          <t>No</t>
        </is>
      </c>
      <c r="G891" t="inlineStr">
        <is>
          <t>1</t>
        </is>
      </c>
      <c r="H891" t="inlineStr">
        <is>
          <t>No</t>
        </is>
      </c>
      <c r="I891" t="inlineStr">
        <is>
          <t>No</t>
        </is>
      </c>
      <c r="J891" t="inlineStr">
        <is>
          <t>0</t>
        </is>
      </c>
      <c r="K891" t="inlineStr">
        <is>
          <t>Pierce, Willis Conway, 1895-1974.</t>
        </is>
      </c>
      <c r="L891" t="inlineStr">
        <is>
          <t>San Francisco, W.H. Freeman [c1965]</t>
        </is>
      </c>
      <c r="M891" t="inlineStr">
        <is>
          <t>1965</t>
        </is>
      </c>
      <c r="N891" t="inlineStr">
        <is>
          <t>3rd ed.</t>
        </is>
      </c>
      <c r="O891" t="inlineStr">
        <is>
          <t>eng</t>
        </is>
      </c>
      <c r="P891" t="inlineStr">
        <is>
          <t xml:space="preserve">xx </t>
        </is>
      </c>
      <c r="R891" t="inlineStr">
        <is>
          <t xml:space="preserve">QD </t>
        </is>
      </c>
      <c r="S891" t="n">
        <v>3</v>
      </c>
      <c r="T891" t="n">
        <v>3</v>
      </c>
      <c r="U891" t="inlineStr">
        <is>
          <t>2009-09-09</t>
        </is>
      </c>
      <c r="V891" t="inlineStr">
        <is>
          <t>2009-09-09</t>
        </is>
      </c>
      <c r="W891" t="inlineStr">
        <is>
          <t>1997-05-29</t>
        </is>
      </c>
      <c r="X891" t="inlineStr">
        <is>
          <t>1997-05-29</t>
        </is>
      </c>
      <c r="Y891" t="n">
        <v>148</v>
      </c>
      <c r="Z891" t="n">
        <v>95</v>
      </c>
      <c r="AA891" t="n">
        <v>226</v>
      </c>
      <c r="AB891" t="n">
        <v>1</v>
      </c>
      <c r="AC891" t="n">
        <v>2</v>
      </c>
      <c r="AD891" t="n">
        <v>3</v>
      </c>
      <c r="AE891" t="n">
        <v>7</v>
      </c>
      <c r="AF891" t="n">
        <v>1</v>
      </c>
      <c r="AG891" t="n">
        <v>2</v>
      </c>
      <c r="AH891" t="n">
        <v>1</v>
      </c>
      <c r="AI891" t="n">
        <v>1</v>
      </c>
      <c r="AJ891" t="n">
        <v>2</v>
      </c>
      <c r="AK891" t="n">
        <v>5</v>
      </c>
      <c r="AL891" t="n">
        <v>0</v>
      </c>
      <c r="AM891" t="n">
        <v>1</v>
      </c>
      <c r="AN891" t="n">
        <v>0</v>
      </c>
      <c r="AO891" t="n">
        <v>0</v>
      </c>
      <c r="AP891" t="inlineStr">
        <is>
          <t>No</t>
        </is>
      </c>
      <c r="AQ891" t="inlineStr">
        <is>
          <t>Yes</t>
        </is>
      </c>
      <c r="AR891">
        <f>HYPERLINK("http://catalog.hathitrust.org/Record/102013281","HathiTrust Record")</f>
        <v/>
      </c>
      <c r="AS891">
        <f>HYPERLINK("https://creighton-primo.hosted.exlibrisgroup.com/primo-explore/search?tab=default_tab&amp;search_scope=EVERYTHING&amp;vid=01CRU&amp;lang=en_US&amp;offset=0&amp;query=any,contains,991003341709702656","Catalog Record")</f>
        <v/>
      </c>
      <c r="AT891">
        <f>HYPERLINK("http://www.worldcat.org/oclc/873297","WorldCat Record")</f>
        <v/>
      </c>
      <c r="AU891" t="inlineStr">
        <is>
          <t>476542504:eng</t>
        </is>
      </c>
      <c r="AV891" t="inlineStr">
        <is>
          <t>873297</t>
        </is>
      </c>
      <c r="AW891" t="inlineStr">
        <is>
          <t>991003341709702656</t>
        </is>
      </c>
      <c r="AX891" t="inlineStr">
        <is>
          <t>991003341709702656</t>
        </is>
      </c>
      <c r="AY891" t="inlineStr">
        <is>
          <t>2262040950002656</t>
        </is>
      </c>
      <c r="AZ891" t="inlineStr">
        <is>
          <t>BOOK</t>
        </is>
      </c>
      <c r="BC891" t="inlineStr">
        <is>
          <t>32285002777372</t>
        </is>
      </c>
      <c r="BD891" t="inlineStr">
        <is>
          <t>893799624</t>
        </is>
      </c>
    </row>
    <row r="892">
      <c r="A892" t="inlineStr">
        <is>
          <t>No</t>
        </is>
      </c>
      <c r="B892" t="inlineStr">
        <is>
          <t>QD42 .S47</t>
        </is>
      </c>
      <c r="C892" t="inlineStr">
        <is>
          <t>0                      QD 0042000S  47</t>
        </is>
      </c>
      <c r="D892" t="inlineStr">
        <is>
          <t>Stoichiometry and structure.</t>
        </is>
      </c>
      <c r="E892" t="inlineStr">
        <is>
          <t>V. 1</t>
        </is>
      </c>
      <c r="F892" t="inlineStr">
        <is>
          <t>No</t>
        </is>
      </c>
      <c r="G892" t="inlineStr">
        <is>
          <t>1</t>
        </is>
      </c>
      <c r="H892" t="inlineStr">
        <is>
          <t>No</t>
        </is>
      </c>
      <c r="I892" t="inlineStr">
        <is>
          <t>No</t>
        </is>
      </c>
      <c r="J892" t="inlineStr">
        <is>
          <t>0</t>
        </is>
      </c>
      <c r="K892" t="inlineStr">
        <is>
          <t>Sienko, Michell J.</t>
        </is>
      </c>
      <c r="L892" t="inlineStr">
        <is>
          <t>New York Benjamin, 1964.</t>
        </is>
      </c>
      <c r="M892" t="inlineStr">
        <is>
          <t>1964</t>
        </is>
      </c>
      <c r="O892" t="inlineStr">
        <is>
          <t>eng</t>
        </is>
      </c>
      <c r="P892" t="inlineStr">
        <is>
          <t xml:space="preserve">xx </t>
        </is>
      </c>
      <c r="Q892" t="inlineStr">
        <is>
          <t>His Freshman chemistry problems and how to solve them, 1</t>
        </is>
      </c>
      <c r="R892" t="inlineStr">
        <is>
          <t xml:space="preserve">QD </t>
        </is>
      </c>
      <c r="S892" t="n">
        <v>1</v>
      </c>
      <c r="T892" t="n">
        <v>1</v>
      </c>
      <c r="U892" t="inlineStr">
        <is>
          <t>2006-06-18</t>
        </is>
      </c>
      <c r="V892" t="inlineStr">
        <is>
          <t>2006-06-18</t>
        </is>
      </c>
      <c r="W892" t="inlineStr">
        <is>
          <t>1997-05-29</t>
        </is>
      </c>
      <c r="X892" t="inlineStr">
        <is>
          <t>1997-05-29</t>
        </is>
      </c>
      <c r="Y892" t="n">
        <v>37</v>
      </c>
      <c r="Z892" t="n">
        <v>28</v>
      </c>
      <c r="AA892" t="n">
        <v>28</v>
      </c>
      <c r="AB892" t="n">
        <v>1</v>
      </c>
      <c r="AC892" t="n">
        <v>1</v>
      </c>
      <c r="AD892" t="n">
        <v>0</v>
      </c>
      <c r="AE892" t="n">
        <v>0</v>
      </c>
      <c r="AF892" t="n">
        <v>0</v>
      </c>
      <c r="AG892" t="n">
        <v>0</v>
      </c>
      <c r="AH892" t="n">
        <v>0</v>
      </c>
      <c r="AI892" t="n">
        <v>0</v>
      </c>
      <c r="AJ892" t="n">
        <v>0</v>
      </c>
      <c r="AK892" t="n">
        <v>0</v>
      </c>
      <c r="AL892" t="n">
        <v>0</v>
      </c>
      <c r="AM892" t="n">
        <v>0</v>
      </c>
      <c r="AN892" t="n">
        <v>0</v>
      </c>
      <c r="AO892" t="n">
        <v>0</v>
      </c>
      <c r="AP892" t="inlineStr">
        <is>
          <t>No</t>
        </is>
      </c>
      <c r="AQ892" t="inlineStr">
        <is>
          <t>No</t>
        </is>
      </c>
      <c r="AS892">
        <f>HYPERLINK("https://creighton-primo.hosted.exlibrisgroup.com/primo-explore/search?tab=default_tab&amp;search_scope=EVERYTHING&amp;vid=01CRU&amp;lang=en_US&amp;offset=0&amp;query=any,contains,991003568119702656","Catalog Record")</f>
        <v/>
      </c>
      <c r="AT892">
        <f>HYPERLINK("http://www.worldcat.org/oclc/1142045","WorldCat Record")</f>
        <v/>
      </c>
      <c r="AU892" t="inlineStr">
        <is>
          <t>135369795:eng</t>
        </is>
      </c>
      <c r="AV892" t="inlineStr">
        <is>
          <t>1142045</t>
        </is>
      </c>
      <c r="AW892" t="inlineStr">
        <is>
          <t>991003568119702656</t>
        </is>
      </c>
      <c r="AX892" t="inlineStr">
        <is>
          <t>991003568119702656</t>
        </is>
      </c>
      <c r="AY892" t="inlineStr">
        <is>
          <t>2264555460002656</t>
        </is>
      </c>
      <c r="AZ892" t="inlineStr">
        <is>
          <t>BOOK</t>
        </is>
      </c>
      <c r="BC892" t="inlineStr">
        <is>
          <t>32285002777380</t>
        </is>
      </c>
      <c r="BD892" t="inlineStr">
        <is>
          <t>893422706</t>
        </is>
      </c>
    </row>
    <row r="893">
      <c r="A893" t="inlineStr">
        <is>
          <t>No</t>
        </is>
      </c>
      <c r="B893" t="inlineStr">
        <is>
          <t>QD42 .S62 1981</t>
        </is>
      </c>
      <c r="C893" t="inlineStr">
        <is>
          <t>0                      QD 0042000S  62          1981</t>
        </is>
      </c>
      <c r="D893" t="inlineStr">
        <is>
          <t>How to solve general chemistry problems / C.H. Sorum, R.S. Boikess.</t>
        </is>
      </c>
      <c r="F893" t="inlineStr">
        <is>
          <t>No</t>
        </is>
      </c>
      <c r="G893" t="inlineStr">
        <is>
          <t>1</t>
        </is>
      </c>
      <c r="H893" t="inlineStr">
        <is>
          <t>No</t>
        </is>
      </c>
      <c r="I893" t="inlineStr">
        <is>
          <t>No</t>
        </is>
      </c>
      <c r="J893" t="inlineStr">
        <is>
          <t>0</t>
        </is>
      </c>
      <c r="K893" t="inlineStr">
        <is>
          <t>Sorum, C. H. (Clarence Harvey), 1899-</t>
        </is>
      </c>
      <c r="L893" t="inlineStr">
        <is>
          <t>Englewood Cliffs, N.J. : Prentice-Hall, c1981.</t>
        </is>
      </c>
      <c r="M893" t="inlineStr">
        <is>
          <t>1981</t>
        </is>
      </c>
      <c r="N893" t="inlineStr">
        <is>
          <t>6th ed.</t>
        </is>
      </c>
      <c r="O893" t="inlineStr">
        <is>
          <t>eng</t>
        </is>
      </c>
      <c r="P893" t="inlineStr">
        <is>
          <t>nju</t>
        </is>
      </c>
      <c r="R893" t="inlineStr">
        <is>
          <t xml:space="preserve">QD </t>
        </is>
      </c>
      <c r="S893" t="n">
        <v>32</v>
      </c>
      <c r="T893" t="n">
        <v>32</v>
      </c>
      <c r="U893" t="inlineStr">
        <is>
          <t>2004-08-10</t>
        </is>
      </c>
      <c r="V893" t="inlineStr">
        <is>
          <t>2004-08-10</t>
        </is>
      </c>
      <c r="W893" t="inlineStr">
        <is>
          <t>1992-02-27</t>
        </is>
      </c>
      <c r="X893" t="inlineStr">
        <is>
          <t>1992-02-27</t>
        </is>
      </c>
      <c r="Y893" t="n">
        <v>152</v>
      </c>
      <c r="Z893" t="n">
        <v>106</v>
      </c>
      <c r="AA893" t="n">
        <v>498</v>
      </c>
      <c r="AB893" t="n">
        <v>2</v>
      </c>
      <c r="AC893" t="n">
        <v>2</v>
      </c>
      <c r="AD893" t="n">
        <v>1</v>
      </c>
      <c r="AE893" t="n">
        <v>9</v>
      </c>
      <c r="AF893" t="n">
        <v>0</v>
      </c>
      <c r="AG893" t="n">
        <v>1</v>
      </c>
      <c r="AH893" t="n">
        <v>0</v>
      </c>
      <c r="AI893" t="n">
        <v>2</v>
      </c>
      <c r="AJ893" t="n">
        <v>0</v>
      </c>
      <c r="AK893" t="n">
        <v>6</v>
      </c>
      <c r="AL893" t="n">
        <v>1</v>
      </c>
      <c r="AM893" t="n">
        <v>1</v>
      </c>
      <c r="AN893" t="n">
        <v>0</v>
      </c>
      <c r="AO893" t="n">
        <v>0</v>
      </c>
      <c r="AP893" t="inlineStr">
        <is>
          <t>No</t>
        </is>
      </c>
      <c r="AQ893" t="inlineStr">
        <is>
          <t>No</t>
        </is>
      </c>
      <c r="AS893">
        <f>HYPERLINK("https://creighton-primo.hosted.exlibrisgroup.com/primo-explore/search?tab=default_tab&amp;search_scope=EVERYTHING&amp;vid=01CRU&amp;lang=en_US&amp;offset=0&amp;query=any,contains,991005027739702656","Catalog Record")</f>
        <v/>
      </c>
      <c r="AT893">
        <f>HYPERLINK("http://www.worldcat.org/oclc/6707719","WorldCat Record")</f>
        <v/>
      </c>
      <c r="AU893" t="inlineStr">
        <is>
          <t>4920304116:eng</t>
        </is>
      </c>
      <c r="AV893" t="inlineStr">
        <is>
          <t>6707719</t>
        </is>
      </c>
      <c r="AW893" t="inlineStr">
        <is>
          <t>991005027739702656</t>
        </is>
      </c>
      <c r="AX893" t="inlineStr">
        <is>
          <t>991005027739702656</t>
        </is>
      </c>
      <c r="AY893" t="inlineStr">
        <is>
          <t>2257642500002656</t>
        </is>
      </c>
      <c r="AZ893" t="inlineStr">
        <is>
          <t>BOOK</t>
        </is>
      </c>
      <c r="BB893" t="inlineStr">
        <is>
          <t>9780134341262</t>
        </is>
      </c>
      <c r="BC893" t="inlineStr">
        <is>
          <t>32285000978477</t>
        </is>
      </c>
      <c r="BD893" t="inlineStr">
        <is>
          <t>893700938</t>
        </is>
      </c>
    </row>
    <row r="894">
      <c r="A894" t="inlineStr">
        <is>
          <t>No</t>
        </is>
      </c>
      <c r="B894" t="inlineStr">
        <is>
          <t>QD43 .C44 2008</t>
        </is>
      </c>
      <c r="C894" t="inlineStr">
        <is>
          <t>0                      QD 0043000C  44          2008</t>
        </is>
      </c>
      <c r="D894" t="inlineStr">
        <is>
          <t>Chemagic : 50 chemistry classics and magical tricks / Seah Wee Khee ... [et al.].</t>
        </is>
      </c>
      <c r="F894" t="inlineStr">
        <is>
          <t>No</t>
        </is>
      </c>
      <c r="G894" t="inlineStr">
        <is>
          <t>1</t>
        </is>
      </c>
      <c r="H894" t="inlineStr">
        <is>
          <t>No</t>
        </is>
      </c>
      <c r="I894" t="inlineStr">
        <is>
          <t>No</t>
        </is>
      </c>
      <c r="J894" t="inlineStr">
        <is>
          <t>0</t>
        </is>
      </c>
      <c r="L894" t="inlineStr">
        <is>
          <t>Singapore ; Hackensack, N.J. : World Scientific, c2008.</t>
        </is>
      </c>
      <c r="M894" t="inlineStr">
        <is>
          <t>2008</t>
        </is>
      </c>
      <c r="O894" t="inlineStr">
        <is>
          <t>eng</t>
        </is>
      </c>
      <c r="P894" t="inlineStr">
        <is>
          <t xml:space="preserve">si </t>
        </is>
      </c>
      <c r="R894" t="inlineStr">
        <is>
          <t xml:space="preserve">QD </t>
        </is>
      </c>
      <c r="S894" t="n">
        <v>1</v>
      </c>
      <c r="T894" t="n">
        <v>1</v>
      </c>
      <c r="U894" t="inlineStr">
        <is>
          <t>2009-02-12</t>
        </is>
      </c>
      <c r="V894" t="inlineStr">
        <is>
          <t>2009-02-12</t>
        </is>
      </c>
      <c r="W894" t="inlineStr">
        <is>
          <t>2009-02-12</t>
        </is>
      </c>
      <c r="X894" t="inlineStr">
        <is>
          <t>2009-02-12</t>
        </is>
      </c>
      <c r="Y894" t="n">
        <v>139</v>
      </c>
      <c r="Z894" t="n">
        <v>79</v>
      </c>
      <c r="AA894" t="n">
        <v>79</v>
      </c>
      <c r="AB894" t="n">
        <v>1</v>
      </c>
      <c r="AC894" t="n">
        <v>1</v>
      </c>
      <c r="AD894" t="n">
        <v>2</v>
      </c>
      <c r="AE894" t="n">
        <v>2</v>
      </c>
      <c r="AF894" t="n">
        <v>2</v>
      </c>
      <c r="AG894" t="n">
        <v>2</v>
      </c>
      <c r="AH894" t="n">
        <v>0</v>
      </c>
      <c r="AI894" t="n">
        <v>0</v>
      </c>
      <c r="AJ894" t="n">
        <v>0</v>
      </c>
      <c r="AK894" t="n">
        <v>0</v>
      </c>
      <c r="AL894" t="n">
        <v>0</v>
      </c>
      <c r="AM894" t="n">
        <v>0</v>
      </c>
      <c r="AN894" t="n">
        <v>0</v>
      </c>
      <c r="AO894" t="n">
        <v>0</v>
      </c>
      <c r="AP894" t="inlineStr">
        <is>
          <t>No</t>
        </is>
      </c>
      <c r="AQ894" t="inlineStr">
        <is>
          <t>No</t>
        </is>
      </c>
      <c r="AS894">
        <f>HYPERLINK("https://creighton-primo.hosted.exlibrisgroup.com/primo-explore/search?tab=default_tab&amp;search_scope=EVERYTHING&amp;vid=01CRU&amp;lang=en_US&amp;offset=0&amp;query=any,contains,991005289099702656","Catalog Record")</f>
        <v/>
      </c>
      <c r="AT894">
        <f>HYPERLINK("http://www.worldcat.org/oclc/302219365","WorldCat Record")</f>
        <v/>
      </c>
      <c r="AU894" t="inlineStr">
        <is>
          <t>899857650:eng</t>
        </is>
      </c>
      <c r="AV894" t="inlineStr">
        <is>
          <t>302219365</t>
        </is>
      </c>
      <c r="AW894" t="inlineStr">
        <is>
          <t>991005289099702656</t>
        </is>
      </c>
      <c r="AX894" t="inlineStr">
        <is>
          <t>991005289099702656</t>
        </is>
      </c>
      <c r="AY894" t="inlineStr">
        <is>
          <t>2260671120002656</t>
        </is>
      </c>
      <c r="AZ894" t="inlineStr">
        <is>
          <t>BOOK</t>
        </is>
      </c>
      <c r="BB894" t="inlineStr">
        <is>
          <t>9789812837073</t>
        </is>
      </c>
      <c r="BC894" t="inlineStr">
        <is>
          <t>32285005503940</t>
        </is>
      </c>
      <c r="BD894" t="inlineStr">
        <is>
          <t>893424848</t>
        </is>
      </c>
    </row>
    <row r="895">
      <c r="A895" t="inlineStr">
        <is>
          <t>No</t>
        </is>
      </c>
      <c r="B895" t="inlineStr">
        <is>
          <t>QD43 .L47 1995</t>
        </is>
      </c>
      <c r="C895" t="inlineStr">
        <is>
          <t>0                      QD 0043000L  47          1995</t>
        </is>
      </c>
      <c r="D895" t="inlineStr">
        <is>
          <t>Classic chemistry demonstrations / compiled by Ted Lister ; [edited by Catherine O'Driscoll and Neville Reed]</t>
        </is>
      </c>
      <c r="F895" t="inlineStr">
        <is>
          <t>No</t>
        </is>
      </c>
      <c r="G895" t="inlineStr">
        <is>
          <t>1</t>
        </is>
      </c>
      <c r="H895" t="inlineStr">
        <is>
          <t>No</t>
        </is>
      </c>
      <c r="I895" t="inlineStr">
        <is>
          <t>No</t>
        </is>
      </c>
      <c r="J895" t="inlineStr">
        <is>
          <t>0</t>
        </is>
      </c>
      <c r="K895" t="inlineStr">
        <is>
          <t>Lister, Ted.</t>
        </is>
      </c>
      <c r="L895" t="inlineStr">
        <is>
          <t>London : Education Division, Royal Society of Chemistry, c1995.</t>
        </is>
      </c>
      <c r="M895" t="inlineStr">
        <is>
          <t>1995</t>
        </is>
      </c>
      <c r="O895" t="inlineStr">
        <is>
          <t>eng</t>
        </is>
      </c>
      <c r="P895" t="inlineStr">
        <is>
          <t>enk</t>
        </is>
      </c>
      <c r="R895" t="inlineStr">
        <is>
          <t xml:space="preserve">QD </t>
        </is>
      </c>
      <c r="S895" t="n">
        <v>5</v>
      </c>
      <c r="T895" t="n">
        <v>5</v>
      </c>
      <c r="U895" t="inlineStr">
        <is>
          <t>2002-02-05</t>
        </is>
      </c>
      <c r="V895" t="inlineStr">
        <is>
          <t>2002-02-05</t>
        </is>
      </c>
      <c r="W895" t="inlineStr">
        <is>
          <t>1998-01-28</t>
        </is>
      </c>
      <c r="X895" t="inlineStr">
        <is>
          <t>1998-01-28</t>
        </is>
      </c>
      <c r="Y895" t="n">
        <v>231</v>
      </c>
      <c r="Z895" t="n">
        <v>133</v>
      </c>
      <c r="AA895" t="n">
        <v>133</v>
      </c>
      <c r="AB895" t="n">
        <v>3</v>
      </c>
      <c r="AC895" t="n">
        <v>3</v>
      </c>
      <c r="AD895" t="n">
        <v>10</v>
      </c>
      <c r="AE895" t="n">
        <v>10</v>
      </c>
      <c r="AF895" t="n">
        <v>2</v>
      </c>
      <c r="AG895" t="n">
        <v>2</v>
      </c>
      <c r="AH895" t="n">
        <v>3</v>
      </c>
      <c r="AI895" t="n">
        <v>3</v>
      </c>
      <c r="AJ895" t="n">
        <v>5</v>
      </c>
      <c r="AK895" t="n">
        <v>5</v>
      </c>
      <c r="AL895" t="n">
        <v>2</v>
      </c>
      <c r="AM895" t="n">
        <v>2</v>
      </c>
      <c r="AN895" t="n">
        <v>0</v>
      </c>
      <c r="AO895" t="n">
        <v>0</v>
      </c>
      <c r="AP895" t="inlineStr">
        <is>
          <t>No</t>
        </is>
      </c>
      <c r="AQ895" t="inlineStr">
        <is>
          <t>No</t>
        </is>
      </c>
      <c r="AS895">
        <f>HYPERLINK("https://creighton-primo.hosted.exlibrisgroup.com/primo-explore/search?tab=default_tab&amp;search_scope=EVERYTHING&amp;vid=01CRU&amp;lang=en_US&amp;offset=0&amp;query=any,contains,991002718369702656","Catalog Record")</f>
        <v/>
      </c>
      <c r="AT895">
        <f>HYPERLINK("http://www.worldcat.org/oclc/35648144","WorldCat Record")</f>
        <v/>
      </c>
      <c r="AU895" t="inlineStr">
        <is>
          <t>326931467:eng</t>
        </is>
      </c>
      <c r="AV895" t="inlineStr">
        <is>
          <t>35648144</t>
        </is>
      </c>
      <c r="AW895" t="inlineStr">
        <is>
          <t>991002718369702656</t>
        </is>
      </c>
      <c r="AX895" t="inlineStr">
        <is>
          <t>991002718369702656</t>
        </is>
      </c>
      <c r="AY895" t="inlineStr">
        <is>
          <t>2257862790002656</t>
        </is>
      </c>
      <c r="AZ895" t="inlineStr">
        <is>
          <t>BOOK</t>
        </is>
      </c>
      <c r="BB895" t="inlineStr">
        <is>
          <t>9781870343381</t>
        </is>
      </c>
      <c r="BC895" t="inlineStr">
        <is>
          <t>32285003311197</t>
        </is>
      </c>
      <c r="BD895" t="inlineStr">
        <is>
          <t>893716833</t>
        </is>
      </c>
    </row>
    <row r="896">
      <c r="A896" t="inlineStr">
        <is>
          <t>No</t>
        </is>
      </c>
      <c r="B896" t="inlineStr">
        <is>
          <t>QD43 .R6613 1996</t>
        </is>
      </c>
      <c r="C896" t="inlineStr">
        <is>
          <t>0                      QD 0043000R  6613        1996</t>
        </is>
      </c>
      <c r="D896" t="inlineStr">
        <is>
          <t>Chemical curiosities : spectacular experiments and inspired quotes / H.W. Roesky, K. Möckel ; with a foreword by Roald Hoffmann ; translated by T.N. Mitchell and W.E. Russey.</t>
        </is>
      </c>
      <c r="F896" t="inlineStr">
        <is>
          <t>No</t>
        </is>
      </c>
      <c r="G896" t="inlineStr">
        <is>
          <t>1</t>
        </is>
      </c>
      <c r="H896" t="inlineStr">
        <is>
          <t>No</t>
        </is>
      </c>
      <c r="I896" t="inlineStr">
        <is>
          <t>No</t>
        </is>
      </c>
      <c r="J896" t="inlineStr">
        <is>
          <t>0</t>
        </is>
      </c>
      <c r="K896" t="inlineStr">
        <is>
          <t>Roesky, H. W.</t>
        </is>
      </c>
      <c r="L896" t="inlineStr">
        <is>
          <t>Weinheim ; New York : VCH, c1996.</t>
        </is>
      </c>
      <c r="M896" t="inlineStr">
        <is>
          <t>1996</t>
        </is>
      </c>
      <c r="O896" t="inlineStr">
        <is>
          <t>eng</t>
        </is>
      </c>
      <c r="P896" t="inlineStr">
        <is>
          <t xml:space="preserve">gw </t>
        </is>
      </c>
      <c r="R896" t="inlineStr">
        <is>
          <t xml:space="preserve">QD </t>
        </is>
      </c>
      <c r="S896" t="n">
        <v>4</v>
      </c>
      <c r="T896" t="n">
        <v>4</v>
      </c>
      <c r="U896" t="inlineStr">
        <is>
          <t>2002-02-05</t>
        </is>
      </c>
      <c r="V896" t="inlineStr">
        <is>
          <t>2002-02-05</t>
        </is>
      </c>
      <c r="W896" t="inlineStr">
        <is>
          <t>1998-04-23</t>
        </is>
      </c>
      <c r="X896" t="inlineStr">
        <is>
          <t>1998-04-23</t>
        </is>
      </c>
      <c r="Y896" t="n">
        <v>557</v>
      </c>
      <c r="Z896" t="n">
        <v>411</v>
      </c>
      <c r="AA896" t="n">
        <v>412</v>
      </c>
      <c r="AB896" t="n">
        <v>6</v>
      </c>
      <c r="AC896" t="n">
        <v>6</v>
      </c>
      <c r="AD896" t="n">
        <v>25</v>
      </c>
      <c r="AE896" t="n">
        <v>25</v>
      </c>
      <c r="AF896" t="n">
        <v>11</v>
      </c>
      <c r="AG896" t="n">
        <v>11</v>
      </c>
      <c r="AH896" t="n">
        <v>5</v>
      </c>
      <c r="AI896" t="n">
        <v>5</v>
      </c>
      <c r="AJ896" t="n">
        <v>12</v>
      </c>
      <c r="AK896" t="n">
        <v>12</v>
      </c>
      <c r="AL896" t="n">
        <v>5</v>
      </c>
      <c r="AM896" t="n">
        <v>5</v>
      </c>
      <c r="AN896" t="n">
        <v>0</v>
      </c>
      <c r="AO896" t="n">
        <v>0</v>
      </c>
      <c r="AP896" t="inlineStr">
        <is>
          <t>No</t>
        </is>
      </c>
      <c r="AQ896" t="inlineStr">
        <is>
          <t>No</t>
        </is>
      </c>
      <c r="AS896">
        <f>HYPERLINK("https://creighton-primo.hosted.exlibrisgroup.com/primo-explore/search?tab=default_tab&amp;search_scope=EVERYTHING&amp;vid=01CRU&amp;lang=en_US&amp;offset=0&amp;query=any,contains,991002681239702656","Catalog Record")</f>
        <v/>
      </c>
      <c r="AT896">
        <f>HYPERLINK("http://www.worldcat.org/oclc/35033694","WorldCat Record")</f>
        <v/>
      </c>
      <c r="AU896" t="inlineStr">
        <is>
          <t>898154188:eng</t>
        </is>
      </c>
      <c r="AV896" t="inlineStr">
        <is>
          <t>35033694</t>
        </is>
      </c>
      <c r="AW896" t="inlineStr">
        <is>
          <t>991002681239702656</t>
        </is>
      </c>
      <c r="AX896" t="inlineStr">
        <is>
          <t>991002681239702656</t>
        </is>
      </c>
      <c r="AY896" t="inlineStr">
        <is>
          <t>2269305600002656</t>
        </is>
      </c>
      <c r="AZ896" t="inlineStr">
        <is>
          <t>BOOK</t>
        </is>
      </c>
      <c r="BB896" t="inlineStr">
        <is>
          <t>9783527294145</t>
        </is>
      </c>
      <c r="BC896" t="inlineStr">
        <is>
          <t>32285003377487</t>
        </is>
      </c>
      <c r="BD896" t="inlineStr">
        <is>
          <t>893597751</t>
        </is>
      </c>
    </row>
    <row r="897">
      <c r="A897" t="inlineStr">
        <is>
          <t>No</t>
        </is>
      </c>
      <c r="B897" t="inlineStr">
        <is>
          <t>QD43 .R663 2007</t>
        </is>
      </c>
      <c r="C897" t="inlineStr">
        <is>
          <t>0                      QD 0043000R  663         2007</t>
        </is>
      </c>
      <c r="D897" t="inlineStr">
        <is>
          <t>Spectacular chemical experiments / Herbert W. Roesky ; foreword by George A. Olah.</t>
        </is>
      </c>
      <c r="F897" t="inlineStr">
        <is>
          <t>No</t>
        </is>
      </c>
      <c r="G897" t="inlineStr">
        <is>
          <t>1</t>
        </is>
      </c>
      <c r="H897" t="inlineStr">
        <is>
          <t>No</t>
        </is>
      </c>
      <c r="I897" t="inlineStr">
        <is>
          <t>No</t>
        </is>
      </c>
      <c r="J897" t="inlineStr">
        <is>
          <t>0</t>
        </is>
      </c>
      <c r="K897" t="inlineStr">
        <is>
          <t>Roesky, H. W.</t>
        </is>
      </c>
      <c r="L897" t="inlineStr">
        <is>
          <t>Weinheim : Wiley-VCH, c2007.</t>
        </is>
      </c>
      <c r="M897" t="inlineStr">
        <is>
          <t>2007</t>
        </is>
      </c>
      <c r="O897" t="inlineStr">
        <is>
          <t>eng</t>
        </is>
      </c>
      <c r="P897" t="inlineStr">
        <is>
          <t xml:space="preserve">gw </t>
        </is>
      </c>
      <c r="R897" t="inlineStr">
        <is>
          <t xml:space="preserve">QD </t>
        </is>
      </c>
      <c r="S897" t="n">
        <v>1</v>
      </c>
      <c r="T897" t="n">
        <v>1</v>
      </c>
      <c r="U897" t="inlineStr">
        <is>
          <t>2008-09-18</t>
        </is>
      </c>
      <c r="V897" t="inlineStr">
        <is>
          <t>2008-09-18</t>
        </is>
      </c>
      <c r="W897" t="inlineStr">
        <is>
          <t>2008-09-18</t>
        </is>
      </c>
      <c r="X897" t="inlineStr">
        <is>
          <t>2008-09-18</t>
        </is>
      </c>
      <c r="Y897" t="n">
        <v>376</v>
      </c>
      <c r="Z897" t="n">
        <v>258</v>
      </c>
      <c r="AA897" t="n">
        <v>596</v>
      </c>
      <c r="AB897" t="n">
        <v>5</v>
      </c>
      <c r="AC897" t="n">
        <v>7</v>
      </c>
      <c r="AD897" t="n">
        <v>16</v>
      </c>
      <c r="AE897" t="n">
        <v>30</v>
      </c>
      <c r="AF897" t="n">
        <v>4</v>
      </c>
      <c r="AG897" t="n">
        <v>10</v>
      </c>
      <c r="AH897" t="n">
        <v>3</v>
      </c>
      <c r="AI897" t="n">
        <v>6</v>
      </c>
      <c r="AJ897" t="n">
        <v>8</v>
      </c>
      <c r="AK897" t="n">
        <v>12</v>
      </c>
      <c r="AL897" t="n">
        <v>4</v>
      </c>
      <c r="AM897" t="n">
        <v>6</v>
      </c>
      <c r="AN897" t="n">
        <v>0</v>
      </c>
      <c r="AO897" t="n">
        <v>1</v>
      </c>
      <c r="AP897" t="inlineStr">
        <is>
          <t>No</t>
        </is>
      </c>
      <c r="AQ897" t="inlineStr">
        <is>
          <t>No</t>
        </is>
      </c>
      <c r="AS897">
        <f>HYPERLINK("https://creighton-primo.hosted.exlibrisgroup.com/primo-explore/search?tab=default_tab&amp;search_scope=EVERYTHING&amp;vid=01CRU&amp;lang=en_US&amp;offset=0&amp;query=any,contains,991005262829702656","Catalog Record")</f>
        <v/>
      </c>
      <c r="AT897">
        <f>HYPERLINK("http://www.worldcat.org/oclc/122260207","WorldCat Record")</f>
        <v/>
      </c>
      <c r="AU897" t="inlineStr">
        <is>
          <t>101320062:eng</t>
        </is>
      </c>
      <c r="AV897" t="inlineStr">
        <is>
          <t>122260207</t>
        </is>
      </c>
      <c r="AW897" t="inlineStr">
        <is>
          <t>991005262829702656</t>
        </is>
      </c>
      <c r="AX897" t="inlineStr">
        <is>
          <t>991005262829702656</t>
        </is>
      </c>
      <c r="AY897" t="inlineStr">
        <is>
          <t>2269229820002656</t>
        </is>
      </c>
      <c r="AZ897" t="inlineStr">
        <is>
          <t>BOOK</t>
        </is>
      </c>
      <c r="BB897" t="inlineStr">
        <is>
          <t>9783527318650</t>
        </is>
      </c>
      <c r="BC897" t="inlineStr">
        <is>
          <t>32285005458947</t>
        </is>
      </c>
      <c r="BD897" t="inlineStr">
        <is>
          <t>893536510</t>
        </is>
      </c>
    </row>
    <row r="898">
      <c r="A898" t="inlineStr">
        <is>
          <t>No</t>
        </is>
      </c>
      <c r="B898" t="inlineStr">
        <is>
          <t>QD43 .S5 1983, v...</t>
        </is>
      </c>
      <c r="C898" t="inlineStr">
        <is>
          <t>0                      QD 0043000S  5           1983                                        v...</t>
        </is>
      </c>
      <c r="D898" t="inlineStr">
        <is>
          <t>Chemical demonstrations : a handbook for teachers of chemistry / Bassam Z. Shakhashiri.</t>
        </is>
      </c>
      <c r="E898" t="inlineStr">
        <is>
          <t>V. 2</t>
        </is>
      </c>
      <c r="F898" t="inlineStr">
        <is>
          <t>Yes</t>
        </is>
      </c>
      <c r="G898" t="inlineStr">
        <is>
          <t>1</t>
        </is>
      </c>
      <c r="H898" t="inlineStr">
        <is>
          <t>No</t>
        </is>
      </c>
      <c r="I898" t="inlineStr">
        <is>
          <t>No</t>
        </is>
      </c>
      <c r="J898" t="inlineStr">
        <is>
          <t>0</t>
        </is>
      </c>
      <c r="K898" t="inlineStr">
        <is>
          <t>Shakhashiri, Bassam Z.</t>
        </is>
      </c>
      <c r="L898" t="inlineStr">
        <is>
          <t>Madison, Wis. : University of Wisconsin Press, 1983-</t>
        </is>
      </c>
      <c r="M898" t="inlineStr">
        <is>
          <t>1983</t>
        </is>
      </c>
      <c r="O898" t="inlineStr">
        <is>
          <t>eng</t>
        </is>
      </c>
      <c r="P898" t="inlineStr">
        <is>
          <t>wiu</t>
        </is>
      </c>
      <c r="R898" t="inlineStr">
        <is>
          <t xml:space="preserve">QD </t>
        </is>
      </c>
      <c r="S898" t="n">
        <v>7</v>
      </c>
      <c r="T898" t="n">
        <v>13</v>
      </c>
      <c r="U898" t="inlineStr">
        <is>
          <t>1997-04-11</t>
        </is>
      </c>
      <c r="V898" t="inlineStr">
        <is>
          <t>2001-04-18</t>
        </is>
      </c>
      <c r="W898" t="inlineStr">
        <is>
          <t>1993-10-06</t>
        </is>
      </c>
      <c r="X898" t="inlineStr">
        <is>
          <t>1997-03-19</t>
        </is>
      </c>
      <c r="Y898" t="n">
        <v>1158</v>
      </c>
      <c r="Z898" t="n">
        <v>1003</v>
      </c>
      <c r="AA898" t="n">
        <v>1011</v>
      </c>
      <c r="AB898" t="n">
        <v>9</v>
      </c>
      <c r="AC898" t="n">
        <v>9</v>
      </c>
      <c r="AD898" t="n">
        <v>42</v>
      </c>
      <c r="AE898" t="n">
        <v>42</v>
      </c>
      <c r="AF898" t="n">
        <v>16</v>
      </c>
      <c r="AG898" t="n">
        <v>16</v>
      </c>
      <c r="AH898" t="n">
        <v>8</v>
      </c>
      <c r="AI898" t="n">
        <v>8</v>
      </c>
      <c r="AJ898" t="n">
        <v>20</v>
      </c>
      <c r="AK898" t="n">
        <v>20</v>
      </c>
      <c r="AL898" t="n">
        <v>7</v>
      </c>
      <c r="AM898" t="n">
        <v>7</v>
      </c>
      <c r="AN898" t="n">
        <v>0</v>
      </c>
      <c r="AO898" t="n">
        <v>0</v>
      </c>
      <c r="AP898" t="inlineStr">
        <is>
          <t>No</t>
        </is>
      </c>
      <c r="AQ898" t="inlineStr">
        <is>
          <t>Yes</t>
        </is>
      </c>
      <c r="AR898">
        <f>HYPERLINK("http://catalog.hathitrust.org/Record/000238497","HathiTrust Record")</f>
        <v/>
      </c>
      <c r="AS898">
        <f>HYPERLINK("https://creighton-primo.hosted.exlibrisgroup.com/primo-explore/search?tab=default_tab&amp;search_scope=EVERYTHING&amp;vid=01CRU&amp;lang=en_US&amp;offset=0&amp;query=any,contains,991000180529702656","Catalog Record")</f>
        <v/>
      </c>
      <c r="AT898">
        <f>HYPERLINK("http://www.worldcat.org/oclc/9371542","WorldCat Record")</f>
        <v/>
      </c>
      <c r="AU898" t="inlineStr">
        <is>
          <t>3376042711:eng</t>
        </is>
      </c>
      <c r="AV898" t="inlineStr">
        <is>
          <t>9371542</t>
        </is>
      </c>
      <c r="AW898" t="inlineStr">
        <is>
          <t>991000180529702656</t>
        </is>
      </c>
      <c r="AX898" t="inlineStr">
        <is>
          <t>991000180529702656</t>
        </is>
      </c>
      <c r="AY898" t="inlineStr">
        <is>
          <t>2269565420002656</t>
        </is>
      </c>
      <c r="AZ898" t="inlineStr">
        <is>
          <t>BOOK</t>
        </is>
      </c>
      <c r="BB898" t="inlineStr">
        <is>
          <t>9780299088903</t>
        </is>
      </c>
      <c r="BC898" t="inlineStr">
        <is>
          <t>32285001773018</t>
        </is>
      </c>
      <c r="BD898" t="inlineStr">
        <is>
          <t>893771454</t>
        </is>
      </c>
    </row>
    <row r="899">
      <c r="A899" t="inlineStr">
        <is>
          <t>No</t>
        </is>
      </c>
      <c r="B899" t="inlineStr">
        <is>
          <t>QD43 .S5 1983, v...</t>
        </is>
      </c>
      <c r="C899" t="inlineStr">
        <is>
          <t>0                      QD 0043000S  5           1983                                        v...</t>
        </is>
      </c>
      <c r="D899" t="inlineStr">
        <is>
          <t>Chemical demonstrations : a handbook for teachers of chemistry / Bassam Z. Shakhashiri.</t>
        </is>
      </c>
      <c r="E899" t="inlineStr">
        <is>
          <t>V. 1</t>
        </is>
      </c>
      <c r="F899" t="inlineStr">
        <is>
          <t>Yes</t>
        </is>
      </c>
      <c r="G899" t="inlineStr">
        <is>
          <t>1</t>
        </is>
      </c>
      <c r="H899" t="inlineStr">
        <is>
          <t>No</t>
        </is>
      </c>
      <c r="I899" t="inlineStr">
        <is>
          <t>No</t>
        </is>
      </c>
      <c r="J899" t="inlineStr">
        <is>
          <t>0</t>
        </is>
      </c>
      <c r="K899" t="inlineStr">
        <is>
          <t>Shakhashiri, Bassam Z.</t>
        </is>
      </c>
      <c r="L899" t="inlineStr">
        <is>
          <t>Madison, Wis. : University of Wisconsin Press, 1983-</t>
        </is>
      </c>
      <c r="M899" t="inlineStr">
        <is>
          <t>1983</t>
        </is>
      </c>
      <c r="O899" t="inlineStr">
        <is>
          <t>eng</t>
        </is>
      </c>
      <c r="P899" t="inlineStr">
        <is>
          <t>wiu</t>
        </is>
      </c>
      <c r="R899" t="inlineStr">
        <is>
          <t xml:space="preserve">QD </t>
        </is>
      </c>
      <c r="S899" t="n">
        <v>1</v>
      </c>
      <c r="T899" t="n">
        <v>13</v>
      </c>
      <c r="V899" t="inlineStr">
        <is>
          <t>2001-04-18</t>
        </is>
      </c>
      <c r="W899" t="inlineStr">
        <is>
          <t>1997-03-19</t>
        </is>
      </c>
      <c r="X899" t="inlineStr">
        <is>
          <t>1997-03-19</t>
        </is>
      </c>
      <c r="Y899" t="n">
        <v>1158</v>
      </c>
      <c r="Z899" t="n">
        <v>1003</v>
      </c>
      <c r="AA899" t="n">
        <v>1011</v>
      </c>
      <c r="AB899" t="n">
        <v>9</v>
      </c>
      <c r="AC899" t="n">
        <v>9</v>
      </c>
      <c r="AD899" t="n">
        <v>42</v>
      </c>
      <c r="AE899" t="n">
        <v>42</v>
      </c>
      <c r="AF899" t="n">
        <v>16</v>
      </c>
      <c r="AG899" t="n">
        <v>16</v>
      </c>
      <c r="AH899" t="n">
        <v>8</v>
      </c>
      <c r="AI899" t="n">
        <v>8</v>
      </c>
      <c r="AJ899" t="n">
        <v>20</v>
      </c>
      <c r="AK899" t="n">
        <v>20</v>
      </c>
      <c r="AL899" t="n">
        <v>7</v>
      </c>
      <c r="AM899" t="n">
        <v>7</v>
      </c>
      <c r="AN899" t="n">
        <v>0</v>
      </c>
      <c r="AO899" t="n">
        <v>0</v>
      </c>
      <c r="AP899" t="inlineStr">
        <is>
          <t>No</t>
        </is>
      </c>
      <c r="AQ899" t="inlineStr">
        <is>
          <t>Yes</t>
        </is>
      </c>
      <c r="AR899">
        <f>HYPERLINK("http://catalog.hathitrust.org/Record/000238497","HathiTrust Record")</f>
        <v/>
      </c>
      <c r="AS899">
        <f>HYPERLINK("https://creighton-primo.hosted.exlibrisgroup.com/primo-explore/search?tab=default_tab&amp;search_scope=EVERYTHING&amp;vid=01CRU&amp;lang=en_US&amp;offset=0&amp;query=any,contains,991000180529702656","Catalog Record")</f>
        <v/>
      </c>
      <c r="AT899">
        <f>HYPERLINK("http://www.worldcat.org/oclc/9371542","WorldCat Record")</f>
        <v/>
      </c>
      <c r="AU899" t="inlineStr">
        <is>
          <t>3376042711:eng</t>
        </is>
      </c>
      <c r="AV899" t="inlineStr">
        <is>
          <t>9371542</t>
        </is>
      </c>
      <c r="AW899" t="inlineStr">
        <is>
          <t>991000180529702656</t>
        </is>
      </c>
      <c r="AX899" t="inlineStr">
        <is>
          <t>991000180529702656</t>
        </is>
      </c>
      <c r="AY899" t="inlineStr">
        <is>
          <t>2269565420002656</t>
        </is>
      </c>
      <c r="AZ899" t="inlineStr">
        <is>
          <t>BOOK</t>
        </is>
      </c>
      <c r="BB899" t="inlineStr">
        <is>
          <t>9780299088903</t>
        </is>
      </c>
      <c r="BC899" t="inlineStr">
        <is>
          <t>32285002454139</t>
        </is>
      </c>
      <c r="BD899" t="inlineStr">
        <is>
          <t>893796496</t>
        </is>
      </c>
    </row>
    <row r="900">
      <c r="A900" t="inlineStr">
        <is>
          <t>No</t>
        </is>
      </c>
      <c r="B900" t="inlineStr">
        <is>
          <t>QD43 .S5 1983, v...</t>
        </is>
      </c>
      <c r="C900" t="inlineStr">
        <is>
          <t>0                      QD 0043000S  5           1983                                        v...</t>
        </is>
      </c>
      <c r="D900" t="inlineStr">
        <is>
          <t>Chemical demonstrations : a handbook for teachers of chemistry / Bassam Z. Shakhashiri.</t>
        </is>
      </c>
      <c r="E900" t="inlineStr">
        <is>
          <t>V. 3</t>
        </is>
      </c>
      <c r="F900" t="inlineStr">
        <is>
          <t>Yes</t>
        </is>
      </c>
      <c r="G900" t="inlineStr">
        <is>
          <t>1</t>
        </is>
      </c>
      <c r="H900" t="inlineStr">
        <is>
          <t>No</t>
        </is>
      </c>
      <c r="I900" t="inlineStr">
        <is>
          <t>No</t>
        </is>
      </c>
      <c r="J900" t="inlineStr">
        <is>
          <t>0</t>
        </is>
      </c>
      <c r="K900" t="inlineStr">
        <is>
          <t>Shakhashiri, Bassam Z.</t>
        </is>
      </c>
      <c r="L900" t="inlineStr">
        <is>
          <t>Madison, Wis. : University of Wisconsin Press, 1983-</t>
        </is>
      </c>
      <c r="M900" t="inlineStr">
        <is>
          <t>1983</t>
        </is>
      </c>
      <c r="O900" t="inlineStr">
        <is>
          <t>eng</t>
        </is>
      </c>
      <c r="P900" t="inlineStr">
        <is>
          <t>wiu</t>
        </is>
      </c>
      <c r="R900" t="inlineStr">
        <is>
          <t xml:space="preserve">QD </t>
        </is>
      </c>
      <c r="S900" t="n">
        <v>1</v>
      </c>
      <c r="T900" t="n">
        <v>13</v>
      </c>
      <c r="V900" t="inlineStr">
        <is>
          <t>2001-04-18</t>
        </is>
      </c>
      <c r="W900" t="inlineStr">
        <is>
          <t>1997-03-19</t>
        </is>
      </c>
      <c r="X900" t="inlineStr">
        <is>
          <t>1997-03-19</t>
        </is>
      </c>
      <c r="Y900" t="n">
        <v>1158</v>
      </c>
      <c r="Z900" t="n">
        <v>1003</v>
      </c>
      <c r="AA900" t="n">
        <v>1011</v>
      </c>
      <c r="AB900" t="n">
        <v>9</v>
      </c>
      <c r="AC900" t="n">
        <v>9</v>
      </c>
      <c r="AD900" t="n">
        <v>42</v>
      </c>
      <c r="AE900" t="n">
        <v>42</v>
      </c>
      <c r="AF900" t="n">
        <v>16</v>
      </c>
      <c r="AG900" t="n">
        <v>16</v>
      </c>
      <c r="AH900" t="n">
        <v>8</v>
      </c>
      <c r="AI900" t="n">
        <v>8</v>
      </c>
      <c r="AJ900" t="n">
        <v>20</v>
      </c>
      <c r="AK900" t="n">
        <v>20</v>
      </c>
      <c r="AL900" t="n">
        <v>7</v>
      </c>
      <c r="AM900" t="n">
        <v>7</v>
      </c>
      <c r="AN900" t="n">
        <v>0</v>
      </c>
      <c r="AO900" t="n">
        <v>0</v>
      </c>
      <c r="AP900" t="inlineStr">
        <is>
          <t>No</t>
        </is>
      </c>
      <c r="AQ900" t="inlineStr">
        <is>
          <t>Yes</t>
        </is>
      </c>
      <c r="AR900">
        <f>HYPERLINK("http://catalog.hathitrust.org/Record/000238497","HathiTrust Record")</f>
        <v/>
      </c>
      <c r="AS900">
        <f>HYPERLINK("https://creighton-primo.hosted.exlibrisgroup.com/primo-explore/search?tab=default_tab&amp;search_scope=EVERYTHING&amp;vid=01CRU&amp;lang=en_US&amp;offset=0&amp;query=any,contains,991000180529702656","Catalog Record")</f>
        <v/>
      </c>
      <c r="AT900">
        <f>HYPERLINK("http://www.worldcat.org/oclc/9371542","WorldCat Record")</f>
        <v/>
      </c>
      <c r="AU900" t="inlineStr">
        <is>
          <t>3376042711:eng</t>
        </is>
      </c>
      <c r="AV900" t="inlineStr">
        <is>
          <t>9371542</t>
        </is>
      </c>
      <c r="AW900" t="inlineStr">
        <is>
          <t>991000180529702656</t>
        </is>
      </c>
      <c r="AX900" t="inlineStr">
        <is>
          <t>991000180529702656</t>
        </is>
      </c>
      <c r="AY900" t="inlineStr">
        <is>
          <t>2269565420002656</t>
        </is>
      </c>
      <c r="AZ900" t="inlineStr">
        <is>
          <t>BOOK</t>
        </is>
      </c>
      <c r="BB900" t="inlineStr">
        <is>
          <t>9780299088903</t>
        </is>
      </c>
      <c r="BC900" t="inlineStr">
        <is>
          <t>32285002454147</t>
        </is>
      </c>
      <c r="BD900" t="inlineStr">
        <is>
          <t>893771453</t>
        </is>
      </c>
    </row>
    <row r="901">
      <c r="A901" t="inlineStr">
        <is>
          <t>No</t>
        </is>
      </c>
      <c r="B901" t="inlineStr">
        <is>
          <t>QD43 .S5 1983, v...</t>
        </is>
      </c>
      <c r="C901" t="inlineStr">
        <is>
          <t>0                      QD 0043000S  5           1983                                        v...</t>
        </is>
      </c>
      <c r="D901" t="inlineStr">
        <is>
          <t>Chemical demonstrations : a handbook for teachers of chemistry / Bassam Z. Shakhashiri.</t>
        </is>
      </c>
      <c r="E901" t="inlineStr">
        <is>
          <t>V. 4</t>
        </is>
      </c>
      <c r="F901" t="inlineStr">
        <is>
          <t>Yes</t>
        </is>
      </c>
      <c r="G901" t="inlineStr">
        <is>
          <t>1</t>
        </is>
      </c>
      <c r="H901" t="inlineStr">
        <is>
          <t>No</t>
        </is>
      </c>
      <c r="I901" t="inlineStr">
        <is>
          <t>No</t>
        </is>
      </c>
      <c r="J901" t="inlineStr">
        <is>
          <t>0</t>
        </is>
      </c>
      <c r="K901" t="inlineStr">
        <is>
          <t>Shakhashiri, Bassam Z.</t>
        </is>
      </c>
      <c r="L901" t="inlineStr">
        <is>
          <t>Madison, Wis. : University of Wisconsin Press, 1983-</t>
        </is>
      </c>
      <c r="M901" t="inlineStr">
        <is>
          <t>1983</t>
        </is>
      </c>
      <c r="O901" t="inlineStr">
        <is>
          <t>eng</t>
        </is>
      </c>
      <c r="P901" t="inlineStr">
        <is>
          <t>wiu</t>
        </is>
      </c>
      <c r="R901" t="inlineStr">
        <is>
          <t xml:space="preserve">QD </t>
        </is>
      </c>
      <c r="S901" t="n">
        <v>4</v>
      </c>
      <c r="T901" t="n">
        <v>13</v>
      </c>
      <c r="U901" t="inlineStr">
        <is>
          <t>2001-04-18</t>
        </is>
      </c>
      <c r="V901" t="inlineStr">
        <is>
          <t>2001-04-18</t>
        </is>
      </c>
      <c r="W901" t="inlineStr">
        <is>
          <t>1992-10-05</t>
        </is>
      </c>
      <c r="X901" t="inlineStr">
        <is>
          <t>1997-03-19</t>
        </is>
      </c>
      <c r="Y901" t="n">
        <v>1158</v>
      </c>
      <c r="Z901" t="n">
        <v>1003</v>
      </c>
      <c r="AA901" t="n">
        <v>1011</v>
      </c>
      <c r="AB901" t="n">
        <v>9</v>
      </c>
      <c r="AC901" t="n">
        <v>9</v>
      </c>
      <c r="AD901" t="n">
        <v>42</v>
      </c>
      <c r="AE901" t="n">
        <v>42</v>
      </c>
      <c r="AF901" t="n">
        <v>16</v>
      </c>
      <c r="AG901" t="n">
        <v>16</v>
      </c>
      <c r="AH901" t="n">
        <v>8</v>
      </c>
      <c r="AI901" t="n">
        <v>8</v>
      </c>
      <c r="AJ901" t="n">
        <v>20</v>
      </c>
      <c r="AK901" t="n">
        <v>20</v>
      </c>
      <c r="AL901" t="n">
        <v>7</v>
      </c>
      <c r="AM901" t="n">
        <v>7</v>
      </c>
      <c r="AN901" t="n">
        <v>0</v>
      </c>
      <c r="AO901" t="n">
        <v>0</v>
      </c>
      <c r="AP901" t="inlineStr">
        <is>
          <t>No</t>
        </is>
      </c>
      <c r="AQ901" t="inlineStr">
        <is>
          <t>Yes</t>
        </is>
      </c>
      <c r="AR901">
        <f>HYPERLINK("http://catalog.hathitrust.org/Record/000238497","HathiTrust Record")</f>
        <v/>
      </c>
      <c r="AS901">
        <f>HYPERLINK("https://creighton-primo.hosted.exlibrisgroup.com/primo-explore/search?tab=default_tab&amp;search_scope=EVERYTHING&amp;vid=01CRU&amp;lang=en_US&amp;offset=0&amp;query=any,contains,991000180529702656","Catalog Record")</f>
        <v/>
      </c>
      <c r="AT901">
        <f>HYPERLINK("http://www.worldcat.org/oclc/9371542","WorldCat Record")</f>
        <v/>
      </c>
      <c r="AU901" t="inlineStr">
        <is>
          <t>3376042711:eng</t>
        </is>
      </c>
      <c r="AV901" t="inlineStr">
        <is>
          <t>9371542</t>
        </is>
      </c>
      <c r="AW901" t="inlineStr">
        <is>
          <t>991000180529702656</t>
        </is>
      </c>
      <c r="AX901" t="inlineStr">
        <is>
          <t>991000180529702656</t>
        </is>
      </c>
      <c r="AY901" t="inlineStr">
        <is>
          <t>2269565420002656</t>
        </is>
      </c>
      <c r="AZ901" t="inlineStr">
        <is>
          <t>BOOK</t>
        </is>
      </c>
      <c r="BB901" t="inlineStr">
        <is>
          <t>9780299088903</t>
        </is>
      </c>
      <c r="BC901" t="inlineStr">
        <is>
          <t>32285001326130</t>
        </is>
      </c>
      <c r="BD901" t="inlineStr">
        <is>
          <t>893777767</t>
        </is>
      </c>
    </row>
    <row r="902">
      <c r="A902" t="inlineStr">
        <is>
          <t>No</t>
        </is>
      </c>
      <c r="B902" t="inlineStr">
        <is>
          <t>QD43 .S77 1985</t>
        </is>
      </c>
      <c r="C902" t="inlineStr">
        <is>
          <t>0                      QD 0043000S  77          1985</t>
        </is>
      </c>
      <c r="D902" t="inlineStr">
        <is>
          <t>Chemical demonstrations : a sourcebook for teachers / Lee R. Summerlin, James L. Ealy, Jr.</t>
        </is>
      </c>
      <c r="F902" t="inlineStr">
        <is>
          <t>No</t>
        </is>
      </c>
      <c r="G902" t="inlineStr">
        <is>
          <t>1</t>
        </is>
      </c>
      <c r="H902" t="inlineStr">
        <is>
          <t>No</t>
        </is>
      </c>
      <c r="I902" t="inlineStr">
        <is>
          <t>No</t>
        </is>
      </c>
      <c r="J902" t="inlineStr">
        <is>
          <t>0</t>
        </is>
      </c>
      <c r="K902" t="inlineStr">
        <is>
          <t>Summerlin, Lee R.</t>
        </is>
      </c>
      <c r="L902" t="inlineStr">
        <is>
          <t>Washington, DC : American Chemical Society, 1985.</t>
        </is>
      </c>
      <c r="M902" t="inlineStr">
        <is>
          <t>1985</t>
        </is>
      </c>
      <c r="O902" t="inlineStr">
        <is>
          <t>eng</t>
        </is>
      </c>
      <c r="P902" t="inlineStr">
        <is>
          <t>dcu</t>
        </is>
      </c>
      <c r="R902" t="inlineStr">
        <is>
          <t xml:space="preserve">QD </t>
        </is>
      </c>
      <c r="S902" t="n">
        <v>4</v>
      </c>
      <c r="T902" t="n">
        <v>4</v>
      </c>
      <c r="U902" t="inlineStr">
        <is>
          <t>1998-03-23</t>
        </is>
      </c>
      <c r="V902" t="inlineStr">
        <is>
          <t>1998-03-23</t>
        </is>
      </c>
      <c r="W902" t="inlineStr">
        <is>
          <t>1991-11-25</t>
        </is>
      </c>
      <c r="X902" t="inlineStr">
        <is>
          <t>1991-11-25</t>
        </is>
      </c>
      <c r="Y902" t="n">
        <v>478</v>
      </c>
      <c r="Z902" t="n">
        <v>426</v>
      </c>
      <c r="AA902" t="n">
        <v>850</v>
      </c>
      <c r="AB902" t="n">
        <v>5</v>
      </c>
      <c r="AC902" t="n">
        <v>10</v>
      </c>
      <c r="AD902" t="n">
        <v>20</v>
      </c>
      <c r="AE902" t="n">
        <v>31</v>
      </c>
      <c r="AF902" t="n">
        <v>7</v>
      </c>
      <c r="AG902" t="n">
        <v>8</v>
      </c>
      <c r="AH902" t="n">
        <v>7</v>
      </c>
      <c r="AI902" t="n">
        <v>7</v>
      </c>
      <c r="AJ902" t="n">
        <v>10</v>
      </c>
      <c r="AK902" t="n">
        <v>16</v>
      </c>
      <c r="AL902" t="n">
        <v>3</v>
      </c>
      <c r="AM902" t="n">
        <v>8</v>
      </c>
      <c r="AN902" t="n">
        <v>0</v>
      </c>
      <c r="AO902" t="n">
        <v>0</v>
      </c>
      <c r="AP902" t="inlineStr">
        <is>
          <t>No</t>
        </is>
      </c>
      <c r="AQ902" t="inlineStr">
        <is>
          <t>Yes</t>
        </is>
      </c>
      <c r="AR902">
        <f>HYPERLINK("http://catalog.hathitrust.org/Record/009143854","HathiTrust Record")</f>
        <v/>
      </c>
      <c r="AS902">
        <f>HYPERLINK("https://creighton-primo.hosted.exlibrisgroup.com/primo-explore/search?tab=default_tab&amp;search_scope=EVERYTHING&amp;vid=01CRU&amp;lang=en_US&amp;offset=0&amp;query=any,contains,991000639629702656","Catalog Record")</f>
        <v/>
      </c>
      <c r="AT902">
        <f>HYPERLINK("http://www.worldcat.org/oclc/12103341","WorldCat Record")</f>
        <v/>
      </c>
      <c r="AU902" t="inlineStr">
        <is>
          <t>292528764:eng</t>
        </is>
      </c>
      <c r="AV902" t="inlineStr">
        <is>
          <t>12103341</t>
        </is>
      </c>
      <c r="AW902" t="inlineStr">
        <is>
          <t>991000639629702656</t>
        </is>
      </c>
      <c r="AX902" t="inlineStr">
        <is>
          <t>991000639629702656</t>
        </is>
      </c>
      <c r="AY902" t="inlineStr">
        <is>
          <t>2260742340002656</t>
        </is>
      </c>
      <c r="AZ902" t="inlineStr">
        <is>
          <t>BOOK</t>
        </is>
      </c>
      <c r="BB902" t="inlineStr">
        <is>
          <t>9780841209237</t>
        </is>
      </c>
      <c r="BC902" t="inlineStr">
        <is>
          <t>32285000844885</t>
        </is>
      </c>
      <c r="BD902" t="inlineStr">
        <is>
          <t>893608132</t>
        </is>
      </c>
    </row>
    <row r="903">
      <c r="A903" t="inlineStr">
        <is>
          <t>No</t>
        </is>
      </c>
      <c r="B903" t="inlineStr">
        <is>
          <t>QD43 .T495 2008</t>
        </is>
      </c>
      <c r="C903" t="inlineStr">
        <is>
          <t>0                      QD 0043000T  495         2008</t>
        </is>
      </c>
      <c r="D903" t="inlineStr">
        <is>
          <t>Illustrated guide to home chemistry experiments : all lab, no lecture / Robert Bruce Thompson.</t>
        </is>
      </c>
      <c r="F903" t="inlineStr">
        <is>
          <t>No</t>
        </is>
      </c>
      <c r="G903" t="inlineStr">
        <is>
          <t>1</t>
        </is>
      </c>
      <c r="H903" t="inlineStr">
        <is>
          <t>No</t>
        </is>
      </c>
      <c r="I903" t="inlineStr">
        <is>
          <t>No</t>
        </is>
      </c>
      <c r="J903" t="inlineStr">
        <is>
          <t>0</t>
        </is>
      </c>
      <c r="K903" t="inlineStr">
        <is>
          <t>Thompson, Robert Bruce.</t>
        </is>
      </c>
      <c r="L903" t="inlineStr">
        <is>
          <t>Beijing ; Cambridge : Make:Books/O'Reilly, c2008.</t>
        </is>
      </c>
      <c r="M903" t="inlineStr">
        <is>
          <t>2008</t>
        </is>
      </c>
      <c r="N903" t="inlineStr">
        <is>
          <t>1st ed.</t>
        </is>
      </c>
      <c r="O903" t="inlineStr">
        <is>
          <t>eng</t>
        </is>
      </c>
      <c r="P903" t="inlineStr">
        <is>
          <t xml:space="preserve">cc </t>
        </is>
      </c>
      <c r="Q903" t="inlineStr">
        <is>
          <t>DIY science</t>
        </is>
      </c>
      <c r="R903" t="inlineStr">
        <is>
          <t xml:space="preserve">QD </t>
        </is>
      </c>
      <c r="S903" t="n">
        <v>3</v>
      </c>
      <c r="T903" t="n">
        <v>3</v>
      </c>
      <c r="U903" t="inlineStr">
        <is>
          <t>2009-03-18</t>
        </is>
      </c>
      <c r="V903" t="inlineStr">
        <is>
          <t>2009-03-18</t>
        </is>
      </c>
      <c r="W903" t="inlineStr">
        <is>
          <t>2008-09-30</t>
        </is>
      </c>
      <c r="X903" t="inlineStr">
        <is>
          <t>2008-09-30</t>
        </is>
      </c>
      <c r="Y903" t="n">
        <v>428</v>
      </c>
      <c r="Z903" t="n">
        <v>372</v>
      </c>
      <c r="AA903" t="n">
        <v>532</v>
      </c>
      <c r="AB903" t="n">
        <v>4</v>
      </c>
      <c r="AC903" t="n">
        <v>6</v>
      </c>
      <c r="AD903" t="n">
        <v>2</v>
      </c>
      <c r="AE903" t="n">
        <v>13</v>
      </c>
      <c r="AF903" t="n">
        <v>1</v>
      </c>
      <c r="AG903" t="n">
        <v>2</v>
      </c>
      <c r="AH903" t="n">
        <v>0</v>
      </c>
      <c r="AI903" t="n">
        <v>4</v>
      </c>
      <c r="AJ903" t="n">
        <v>2</v>
      </c>
      <c r="AK903" t="n">
        <v>6</v>
      </c>
      <c r="AL903" t="n">
        <v>0</v>
      </c>
      <c r="AM903" t="n">
        <v>2</v>
      </c>
      <c r="AN903" t="n">
        <v>0</v>
      </c>
      <c r="AO903" t="n">
        <v>1</v>
      </c>
      <c r="AP903" t="inlineStr">
        <is>
          <t>No</t>
        </is>
      </c>
      <c r="AQ903" t="inlineStr">
        <is>
          <t>No</t>
        </is>
      </c>
      <c r="AS903">
        <f>HYPERLINK("https://creighton-primo.hosted.exlibrisgroup.com/primo-explore/search?tab=default_tab&amp;search_scope=EVERYTHING&amp;vid=01CRU&amp;lang=en_US&amp;offset=0&amp;query=any,contains,991005267129702656","Catalog Record")</f>
        <v/>
      </c>
      <c r="AT903">
        <f>HYPERLINK("http://www.worldcat.org/oclc/182528776","WorldCat Record")</f>
        <v/>
      </c>
      <c r="AU903" t="inlineStr">
        <is>
          <t>862876722:eng</t>
        </is>
      </c>
      <c r="AV903" t="inlineStr">
        <is>
          <t>182528776</t>
        </is>
      </c>
      <c r="AW903" t="inlineStr">
        <is>
          <t>991005267129702656</t>
        </is>
      </c>
      <c r="AX903" t="inlineStr">
        <is>
          <t>991005267129702656</t>
        </is>
      </c>
      <c r="AY903" t="inlineStr">
        <is>
          <t>2268087600002656</t>
        </is>
      </c>
      <c r="AZ903" t="inlineStr">
        <is>
          <t>BOOK</t>
        </is>
      </c>
      <c r="BB903" t="inlineStr">
        <is>
          <t>9780596514921</t>
        </is>
      </c>
      <c r="BC903" t="inlineStr">
        <is>
          <t>32285005461206</t>
        </is>
      </c>
      <c r="BD903" t="inlineStr">
        <is>
          <t>893263713</t>
        </is>
      </c>
    </row>
    <row r="904">
      <c r="A904" t="inlineStr">
        <is>
          <t>No</t>
        </is>
      </c>
      <c r="B904" t="inlineStr">
        <is>
          <t>QD431 .B235 1990</t>
        </is>
      </c>
      <c r="C904" t="inlineStr">
        <is>
          <t>0                      QD 0431000B  235         1990</t>
        </is>
      </c>
      <c r="D904" t="inlineStr">
        <is>
          <t>An introduction to peptide chemistry / by P.D. Bailey.</t>
        </is>
      </c>
      <c r="F904" t="inlineStr">
        <is>
          <t>No</t>
        </is>
      </c>
      <c r="G904" t="inlineStr">
        <is>
          <t>1</t>
        </is>
      </c>
      <c r="H904" t="inlineStr">
        <is>
          <t>No</t>
        </is>
      </c>
      <c r="I904" t="inlineStr">
        <is>
          <t>No</t>
        </is>
      </c>
      <c r="J904" t="inlineStr">
        <is>
          <t>0</t>
        </is>
      </c>
      <c r="K904" t="inlineStr">
        <is>
          <t>Bailey, P. D.</t>
        </is>
      </c>
      <c r="L904" t="inlineStr">
        <is>
          <t>Chichester [England] ; New York : Wiley ; Aarau [Switzerland] : Salle₊Sauerländer, c1990.</t>
        </is>
      </c>
      <c r="M904" t="inlineStr">
        <is>
          <t>1990</t>
        </is>
      </c>
      <c r="O904" t="inlineStr">
        <is>
          <t>eng</t>
        </is>
      </c>
      <c r="P904" t="inlineStr">
        <is>
          <t>enk</t>
        </is>
      </c>
      <c r="R904" t="inlineStr">
        <is>
          <t xml:space="preserve">QD </t>
        </is>
      </c>
      <c r="S904" t="n">
        <v>22</v>
      </c>
      <c r="T904" t="n">
        <v>22</v>
      </c>
      <c r="U904" t="inlineStr">
        <is>
          <t>2001-01-11</t>
        </is>
      </c>
      <c r="V904" t="inlineStr">
        <is>
          <t>2001-01-11</t>
        </is>
      </c>
      <c r="W904" t="inlineStr">
        <is>
          <t>1991-05-09</t>
        </is>
      </c>
      <c r="X904" t="inlineStr">
        <is>
          <t>1991-05-09</t>
        </is>
      </c>
      <c r="Y904" t="n">
        <v>301</v>
      </c>
      <c r="Z904" t="n">
        <v>168</v>
      </c>
      <c r="AA904" t="n">
        <v>181</v>
      </c>
      <c r="AB904" t="n">
        <v>1</v>
      </c>
      <c r="AC904" t="n">
        <v>1</v>
      </c>
      <c r="AD904" t="n">
        <v>4</v>
      </c>
      <c r="AE904" t="n">
        <v>5</v>
      </c>
      <c r="AF904" t="n">
        <v>1</v>
      </c>
      <c r="AG904" t="n">
        <v>1</v>
      </c>
      <c r="AH904" t="n">
        <v>1</v>
      </c>
      <c r="AI904" t="n">
        <v>1</v>
      </c>
      <c r="AJ904" t="n">
        <v>4</v>
      </c>
      <c r="AK904" t="n">
        <v>5</v>
      </c>
      <c r="AL904" t="n">
        <v>0</v>
      </c>
      <c r="AM904" t="n">
        <v>0</v>
      </c>
      <c r="AN904" t="n">
        <v>0</v>
      </c>
      <c r="AO904" t="n">
        <v>0</v>
      </c>
      <c r="AP904" t="inlineStr">
        <is>
          <t>No</t>
        </is>
      </c>
      <c r="AQ904" t="inlineStr">
        <is>
          <t>Yes</t>
        </is>
      </c>
      <c r="AR904">
        <f>HYPERLINK("http://catalog.hathitrust.org/Record/002234973","HathiTrust Record")</f>
        <v/>
      </c>
      <c r="AS904">
        <f>HYPERLINK("https://creighton-primo.hosted.exlibrisgroup.com/primo-explore/search?tab=default_tab&amp;search_scope=EVERYTHING&amp;vid=01CRU&amp;lang=en_US&amp;offset=0&amp;query=any,contains,991005411489702656","Catalog Record")</f>
        <v/>
      </c>
      <c r="AT904">
        <f>HYPERLINK("http://www.worldcat.org/oclc/20354370","WorldCat Record")</f>
        <v/>
      </c>
      <c r="AU904" t="inlineStr">
        <is>
          <t>22003745:eng</t>
        </is>
      </c>
      <c r="AV904" t="inlineStr">
        <is>
          <t>20354370</t>
        </is>
      </c>
      <c r="AW904" t="inlineStr">
        <is>
          <t>991005411489702656</t>
        </is>
      </c>
      <c r="AX904" t="inlineStr">
        <is>
          <t>991005411489702656</t>
        </is>
      </c>
      <c r="AY904" t="inlineStr">
        <is>
          <t>2268856500002656</t>
        </is>
      </c>
      <c r="AZ904" t="inlineStr">
        <is>
          <t>BOOK</t>
        </is>
      </c>
      <c r="BB904" t="inlineStr">
        <is>
          <t>9780471923480</t>
        </is>
      </c>
      <c r="BC904" t="inlineStr">
        <is>
          <t>32285000572007</t>
        </is>
      </c>
      <c r="BD904" t="inlineStr">
        <is>
          <t>893521154</t>
        </is>
      </c>
    </row>
    <row r="905">
      <c r="A905" t="inlineStr">
        <is>
          <t>No</t>
        </is>
      </c>
      <c r="B905" t="inlineStr">
        <is>
          <t>QD431 .M4245 1987</t>
        </is>
      </c>
      <c r="C905" t="inlineStr">
        <is>
          <t>0                      QD 0431000M  4245        1987</t>
        </is>
      </c>
      <c r="D905" t="inlineStr">
        <is>
          <t>Dynamics of proteins and nucleic acids / J. Andrew McCammon, Stephen C. Harvey.</t>
        </is>
      </c>
      <c r="F905" t="inlineStr">
        <is>
          <t>No</t>
        </is>
      </c>
      <c r="G905" t="inlineStr">
        <is>
          <t>1</t>
        </is>
      </c>
      <c r="H905" t="inlineStr">
        <is>
          <t>No</t>
        </is>
      </c>
      <c r="I905" t="inlineStr">
        <is>
          <t>No</t>
        </is>
      </c>
      <c r="J905" t="inlineStr">
        <is>
          <t>0</t>
        </is>
      </c>
      <c r="K905" t="inlineStr">
        <is>
          <t>McCammon, J. Andrew.</t>
        </is>
      </c>
      <c r="L905" t="inlineStr">
        <is>
          <t>Cambridge [Cambridgeshire] ; New York : Cambridge University Press, 1987.</t>
        </is>
      </c>
      <c r="M905" t="inlineStr">
        <is>
          <t>1987</t>
        </is>
      </c>
      <c r="O905" t="inlineStr">
        <is>
          <t>eng</t>
        </is>
      </c>
      <c r="P905" t="inlineStr">
        <is>
          <t>enk</t>
        </is>
      </c>
      <c r="R905" t="inlineStr">
        <is>
          <t xml:space="preserve">QD </t>
        </is>
      </c>
      <c r="S905" t="n">
        <v>17</v>
      </c>
      <c r="T905" t="n">
        <v>17</v>
      </c>
      <c r="U905" t="inlineStr">
        <is>
          <t>2001-09-12</t>
        </is>
      </c>
      <c r="V905" t="inlineStr">
        <is>
          <t>2001-09-12</t>
        </is>
      </c>
      <c r="W905" t="inlineStr">
        <is>
          <t>1991-02-20</t>
        </is>
      </c>
      <c r="X905" t="inlineStr">
        <is>
          <t>1991-02-20</t>
        </is>
      </c>
      <c r="Y905" t="n">
        <v>392</v>
      </c>
      <c r="Z905" t="n">
        <v>290</v>
      </c>
      <c r="AA905" t="n">
        <v>336</v>
      </c>
      <c r="AB905" t="n">
        <v>3</v>
      </c>
      <c r="AC905" t="n">
        <v>3</v>
      </c>
      <c r="AD905" t="n">
        <v>13</v>
      </c>
      <c r="AE905" t="n">
        <v>14</v>
      </c>
      <c r="AF905" t="n">
        <v>2</v>
      </c>
      <c r="AG905" t="n">
        <v>2</v>
      </c>
      <c r="AH905" t="n">
        <v>4</v>
      </c>
      <c r="AI905" t="n">
        <v>5</v>
      </c>
      <c r="AJ905" t="n">
        <v>7</v>
      </c>
      <c r="AK905" t="n">
        <v>8</v>
      </c>
      <c r="AL905" t="n">
        <v>2</v>
      </c>
      <c r="AM905" t="n">
        <v>2</v>
      </c>
      <c r="AN905" t="n">
        <v>0</v>
      </c>
      <c r="AO905" t="n">
        <v>0</v>
      </c>
      <c r="AP905" t="inlineStr">
        <is>
          <t>No</t>
        </is>
      </c>
      <c r="AQ905" t="inlineStr">
        <is>
          <t>No</t>
        </is>
      </c>
      <c r="AS905">
        <f>HYPERLINK("https://creighton-primo.hosted.exlibrisgroup.com/primo-explore/search?tab=default_tab&amp;search_scope=EVERYTHING&amp;vid=01CRU&amp;lang=en_US&amp;offset=0&amp;query=any,contains,991005406919702656","Catalog Record")</f>
        <v/>
      </c>
      <c r="AT905">
        <f>HYPERLINK("http://www.worldcat.org/oclc/13903683","WorldCat Record")</f>
        <v/>
      </c>
      <c r="AU905" t="inlineStr">
        <is>
          <t>6878859:eng</t>
        </is>
      </c>
      <c r="AV905" t="inlineStr">
        <is>
          <t>13903683</t>
        </is>
      </c>
      <c r="AW905" t="inlineStr">
        <is>
          <t>991005406919702656</t>
        </is>
      </c>
      <c r="AX905" t="inlineStr">
        <is>
          <t>991005406919702656</t>
        </is>
      </c>
      <c r="AY905" t="inlineStr">
        <is>
          <t>2270104320002656</t>
        </is>
      </c>
      <c r="AZ905" t="inlineStr">
        <is>
          <t>BOOK</t>
        </is>
      </c>
      <c r="BB905" t="inlineStr">
        <is>
          <t>9780521307505</t>
        </is>
      </c>
      <c r="BC905" t="inlineStr">
        <is>
          <t>32285000490481</t>
        </is>
      </c>
      <c r="BD905" t="inlineStr">
        <is>
          <t>893230651</t>
        </is>
      </c>
    </row>
    <row r="906">
      <c r="A906" t="inlineStr">
        <is>
          <t>No</t>
        </is>
      </c>
      <c r="B906" t="inlineStr">
        <is>
          <t>QD431 .W34</t>
        </is>
      </c>
      <c r="C906" t="inlineStr">
        <is>
          <t>0                      QD 0431000W  34</t>
        </is>
      </c>
      <c r="D906" t="inlineStr">
        <is>
          <t>Polypeptides and protein structure / Alan G. Walton.</t>
        </is>
      </c>
      <c r="F906" t="inlineStr">
        <is>
          <t>No</t>
        </is>
      </c>
      <c r="G906" t="inlineStr">
        <is>
          <t>1</t>
        </is>
      </c>
      <c r="H906" t="inlineStr">
        <is>
          <t>Yes</t>
        </is>
      </c>
      <c r="I906" t="inlineStr">
        <is>
          <t>No</t>
        </is>
      </c>
      <c r="J906" t="inlineStr">
        <is>
          <t>0</t>
        </is>
      </c>
      <c r="K906" t="inlineStr">
        <is>
          <t>Walton, Alan G.</t>
        </is>
      </c>
      <c r="L906" t="inlineStr">
        <is>
          <t>New York, N.Y. : Elsevier North Holland, c1981.</t>
        </is>
      </c>
      <c r="M906" t="inlineStr">
        <is>
          <t>1981</t>
        </is>
      </c>
      <c r="O906" t="inlineStr">
        <is>
          <t>eng</t>
        </is>
      </c>
      <c r="P906" t="inlineStr">
        <is>
          <t>nyu</t>
        </is>
      </c>
      <c r="R906" t="inlineStr">
        <is>
          <t xml:space="preserve">QD </t>
        </is>
      </c>
      <c r="S906" t="n">
        <v>7</v>
      </c>
      <c r="T906" t="n">
        <v>12</v>
      </c>
      <c r="U906" t="inlineStr">
        <is>
          <t>1996-06-06</t>
        </is>
      </c>
      <c r="V906" t="inlineStr">
        <is>
          <t>1996-08-26</t>
        </is>
      </c>
      <c r="W906" t="inlineStr">
        <is>
          <t>1991-11-06</t>
        </is>
      </c>
      <c r="X906" t="inlineStr">
        <is>
          <t>1991-11-06</t>
        </is>
      </c>
      <c r="Y906" t="n">
        <v>207</v>
      </c>
      <c r="Z906" t="n">
        <v>143</v>
      </c>
      <c r="AA906" t="n">
        <v>147</v>
      </c>
      <c r="AB906" t="n">
        <v>3</v>
      </c>
      <c r="AC906" t="n">
        <v>3</v>
      </c>
      <c r="AD906" t="n">
        <v>3</v>
      </c>
      <c r="AE906" t="n">
        <v>3</v>
      </c>
      <c r="AF906" t="n">
        <v>0</v>
      </c>
      <c r="AG906" t="n">
        <v>0</v>
      </c>
      <c r="AH906" t="n">
        <v>2</v>
      </c>
      <c r="AI906" t="n">
        <v>2</v>
      </c>
      <c r="AJ906" t="n">
        <v>0</v>
      </c>
      <c r="AK906" t="n">
        <v>0</v>
      </c>
      <c r="AL906" t="n">
        <v>1</v>
      </c>
      <c r="AM906" t="n">
        <v>1</v>
      </c>
      <c r="AN906" t="n">
        <v>0</v>
      </c>
      <c r="AO906" t="n">
        <v>0</v>
      </c>
      <c r="AP906" t="inlineStr">
        <is>
          <t>No</t>
        </is>
      </c>
      <c r="AQ906" t="inlineStr">
        <is>
          <t>Yes</t>
        </is>
      </c>
      <c r="AR906">
        <f>HYPERLINK("http://catalog.hathitrust.org/Record/000098961","HathiTrust Record")</f>
        <v/>
      </c>
      <c r="AS906">
        <f>HYPERLINK("https://creighton-primo.hosted.exlibrisgroup.com/primo-explore/search?tab=default_tab&amp;search_scope=EVERYTHING&amp;vid=01CRU&amp;lang=en_US&amp;offset=0&amp;query=any,contains,991001774279702656","Catalog Record")</f>
        <v/>
      </c>
      <c r="AT906">
        <f>HYPERLINK("http://www.worldcat.org/oclc/6603457","WorldCat Record")</f>
        <v/>
      </c>
      <c r="AU906" t="inlineStr">
        <is>
          <t>22715837:eng</t>
        </is>
      </c>
      <c r="AV906" t="inlineStr">
        <is>
          <t>6603457</t>
        </is>
      </c>
      <c r="AW906" t="inlineStr">
        <is>
          <t>991001774279702656</t>
        </is>
      </c>
      <c r="AX906" t="inlineStr">
        <is>
          <t>991001774279702656</t>
        </is>
      </c>
      <c r="AY906" t="inlineStr">
        <is>
          <t>2255027300002656</t>
        </is>
      </c>
      <c r="AZ906" t="inlineStr">
        <is>
          <t>BOOK</t>
        </is>
      </c>
      <c r="BB906" t="inlineStr">
        <is>
          <t>9780444004079</t>
        </is>
      </c>
      <c r="BC906" t="inlineStr">
        <is>
          <t>32285000796978</t>
        </is>
      </c>
      <c r="BD906" t="inlineStr">
        <is>
          <t>893433132</t>
        </is>
      </c>
    </row>
    <row r="907">
      <c r="A907" t="inlineStr">
        <is>
          <t>No</t>
        </is>
      </c>
      <c r="B907" t="inlineStr">
        <is>
          <t>QD431.25 .A53 I54 2000</t>
        </is>
      </c>
      <c r="C907" t="inlineStr">
        <is>
          <t>0                      QD 0431250A  53                 I  54          2000</t>
        </is>
      </c>
      <c r="D907" t="inlineStr">
        <is>
          <t>Infrared analysis of peptides and proteins : principles and applications / Bal Ram Singh, editor.</t>
        </is>
      </c>
      <c r="F907" t="inlineStr">
        <is>
          <t>No</t>
        </is>
      </c>
      <c r="G907" t="inlineStr">
        <is>
          <t>1</t>
        </is>
      </c>
      <c r="H907" t="inlineStr">
        <is>
          <t>No</t>
        </is>
      </c>
      <c r="I907" t="inlineStr">
        <is>
          <t>No</t>
        </is>
      </c>
      <c r="J907" t="inlineStr">
        <is>
          <t>0</t>
        </is>
      </c>
      <c r="L907" t="inlineStr">
        <is>
          <t>Washington, D.C. : American Chemical Society, 2000.</t>
        </is>
      </c>
      <c r="M907" t="inlineStr">
        <is>
          <t>2000</t>
        </is>
      </c>
      <c r="O907" t="inlineStr">
        <is>
          <t>eng</t>
        </is>
      </c>
      <c r="P907" t="inlineStr">
        <is>
          <t>dcu</t>
        </is>
      </c>
      <c r="Q907" t="inlineStr">
        <is>
          <t>ACS symposium series, 0097-6156 ; 750</t>
        </is>
      </c>
      <c r="R907" t="inlineStr">
        <is>
          <t xml:space="preserve">QD </t>
        </is>
      </c>
      <c r="S907" t="n">
        <v>4</v>
      </c>
      <c r="T907" t="n">
        <v>4</v>
      </c>
      <c r="U907" t="inlineStr">
        <is>
          <t>2010-10-14</t>
        </is>
      </c>
      <c r="V907" t="inlineStr">
        <is>
          <t>2010-10-14</t>
        </is>
      </c>
      <c r="W907" t="inlineStr">
        <is>
          <t>2001-05-01</t>
        </is>
      </c>
      <c r="X907" t="inlineStr">
        <is>
          <t>2001-05-01</t>
        </is>
      </c>
      <c r="Y907" t="n">
        <v>255</v>
      </c>
      <c r="Z907" t="n">
        <v>203</v>
      </c>
      <c r="AA907" t="n">
        <v>234</v>
      </c>
      <c r="AB907" t="n">
        <v>2</v>
      </c>
      <c r="AC907" t="n">
        <v>2</v>
      </c>
      <c r="AD907" t="n">
        <v>11</v>
      </c>
      <c r="AE907" t="n">
        <v>11</v>
      </c>
      <c r="AF907" t="n">
        <v>3</v>
      </c>
      <c r="AG907" t="n">
        <v>3</v>
      </c>
      <c r="AH907" t="n">
        <v>3</v>
      </c>
      <c r="AI907" t="n">
        <v>3</v>
      </c>
      <c r="AJ907" t="n">
        <v>6</v>
      </c>
      <c r="AK907" t="n">
        <v>6</v>
      </c>
      <c r="AL907" t="n">
        <v>1</v>
      </c>
      <c r="AM907" t="n">
        <v>1</v>
      </c>
      <c r="AN907" t="n">
        <v>0</v>
      </c>
      <c r="AO907" t="n">
        <v>0</v>
      </c>
      <c r="AP907" t="inlineStr">
        <is>
          <t>No</t>
        </is>
      </c>
      <c r="AQ907" t="inlineStr">
        <is>
          <t>Yes</t>
        </is>
      </c>
      <c r="AR907">
        <f>HYPERLINK("http://catalog.hathitrust.org/Record/003446768","HathiTrust Record")</f>
        <v/>
      </c>
      <c r="AS907">
        <f>HYPERLINK("https://creighton-primo.hosted.exlibrisgroup.com/primo-explore/search?tab=default_tab&amp;search_scope=EVERYTHING&amp;vid=01CRU&amp;lang=en_US&amp;offset=0&amp;query=any,contains,991003531309702656","Catalog Record")</f>
        <v/>
      </c>
      <c r="AT907">
        <f>HYPERLINK("http://www.worldcat.org/oclc/42296777","WorldCat Record")</f>
        <v/>
      </c>
      <c r="AU907" t="inlineStr">
        <is>
          <t>795235870:eng</t>
        </is>
      </c>
      <c r="AV907" t="inlineStr">
        <is>
          <t>42296777</t>
        </is>
      </c>
      <c r="AW907" t="inlineStr">
        <is>
          <t>991003531309702656</t>
        </is>
      </c>
      <c r="AX907" t="inlineStr">
        <is>
          <t>991003531309702656</t>
        </is>
      </c>
      <c r="AY907" t="inlineStr">
        <is>
          <t>2255607170002656</t>
        </is>
      </c>
      <c r="AZ907" t="inlineStr">
        <is>
          <t>BOOK</t>
        </is>
      </c>
      <c r="BB907" t="inlineStr">
        <is>
          <t>9780841236363</t>
        </is>
      </c>
      <c r="BC907" t="inlineStr">
        <is>
          <t>32285004315395</t>
        </is>
      </c>
      <c r="BD907" t="inlineStr">
        <is>
          <t>893518574</t>
        </is>
      </c>
    </row>
    <row r="908">
      <c r="A908" t="inlineStr">
        <is>
          <t>No</t>
        </is>
      </c>
      <c r="B908" t="inlineStr">
        <is>
          <t>QD431.7 .C73 1984</t>
        </is>
      </c>
      <c r="C908" t="inlineStr">
        <is>
          <t>0                      QD 0431700C  73          1984</t>
        </is>
      </c>
      <c r="D908" t="inlineStr">
        <is>
          <t>CRC handbook of HPLC for the separation of amino acids, peptides, and proteins / editor, William S. Hancock.</t>
        </is>
      </c>
      <c r="E908" t="inlineStr">
        <is>
          <t>V. 2</t>
        </is>
      </c>
      <c r="F908" t="inlineStr">
        <is>
          <t>Yes</t>
        </is>
      </c>
      <c r="G908" t="inlineStr">
        <is>
          <t>1</t>
        </is>
      </c>
      <c r="H908" t="inlineStr">
        <is>
          <t>Yes</t>
        </is>
      </c>
      <c r="I908" t="inlineStr">
        <is>
          <t>No</t>
        </is>
      </c>
      <c r="J908" t="inlineStr">
        <is>
          <t>0</t>
        </is>
      </c>
      <c r="L908" t="inlineStr">
        <is>
          <t>Boca Raton, Fla. : CRC Press, c1984, 1985 printing.</t>
        </is>
      </c>
      <c r="M908" t="inlineStr">
        <is>
          <t>1984</t>
        </is>
      </c>
      <c r="O908" t="inlineStr">
        <is>
          <t>eng</t>
        </is>
      </c>
      <c r="P908" t="inlineStr">
        <is>
          <t>flu</t>
        </is>
      </c>
      <c r="R908" t="inlineStr">
        <is>
          <t xml:space="preserve">QD </t>
        </is>
      </c>
      <c r="S908" t="n">
        <v>0</v>
      </c>
      <c r="T908" t="n">
        <v>13</v>
      </c>
      <c r="V908" t="inlineStr">
        <is>
          <t>2002-02-18</t>
        </is>
      </c>
      <c r="W908" t="inlineStr">
        <is>
          <t>1993-02-09</t>
        </is>
      </c>
      <c r="X908" t="inlineStr">
        <is>
          <t>1993-02-09</t>
        </is>
      </c>
      <c r="Y908" t="n">
        <v>530</v>
      </c>
      <c r="Z908" t="n">
        <v>399</v>
      </c>
      <c r="AA908" t="n">
        <v>405</v>
      </c>
      <c r="AB908" t="n">
        <v>3</v>
      </c>
      <c r="AC908" t="n">
        <v>3</v>
      </c>
      <c r="AD908" t="n">
        <v>9</v>
      </c>
      <c r="AE908" t="n">
        <v>9</v>
      </c>
      <c r="AF908" t="n">
        <v>1</v>
      </c>
      <c r="AG908" t="n">
        <v>1</v>
      </c>
      <c r="AH908" t="n">
        <v>3</v>
      </c>
      <c r="AI908" t="n">
        <v>3</v>
      </c>
      <c r="AJ908" t="n">
        <v>6</v>
      </c>
      <c r="AK908" t="n">
        <v>6</v>
      </c>
      <c r="AL908" t="n">
        <v>1</v>
      </c>
      <c r="AM908" t="n">
        <v>1</v>
      </c>
      <c r="AN908" t="n">
        <v>0</v>
      </c>
      <c r="AO908" t="n">
        <v>0</v>
      </c>
      <c r="AP908" t="inlineStr">
        <is>
          <t>No</t>
        </is>
      </c>
      <c r="AQ908" t="inlineStr">
        <is>
          <t>Yes</t>
        </is>
      </c>
      <c r="AR908">
        <f>HYPERLINK("http://catalog.hathitrust.org/Record/000208455","HathiTrust Record")</f>
        <v/>
      </c>
      <c r="AS908">
        <f>HYPERLINK("https://creighton-primo.hosted.exlibrisgroup.com/primo-explore/search?tab=default_tab&amp;search_scope=EVERYTHING&amp;vid=01CRU&amp;lang=en_US&amp;offset=0&amp;query=any,contains,991001746339702656","Catalog Record")</f>
        <v/>
      </c>
      <c r="AT908">
        <f>HYPERLINK("http://www.worldcat.org/oclc/9757331","WorldCat Record")</f>
        <v/>
      </c>
      <c r="AU908" t="inlineStr">
        <is>
          <t>10141824727:eng</t>
        </is>
      </c>
      <c r="AV908" t="inlineStr">
        <is>
          <t>9757331</t>
        </is>
      </c>
      <c r="AW908" t="inlineStr">
        <is>
          <t>991001746339702656</t>
        </is>
      </c>
      <c r="AX908" t="inlineStr">
        <is>
          <t>991001746339702656</t>
        </is>
      </c>
      <c r="AY908" t="inlineStr">
        <is>
          <t>2256414120002656</t>
        </is>
      </c>
      <c r="AZ908" t="inlineStr">
        <is>
          <t>BOOK</t>
        </is>
      </c>
      <c r="BB908" t="inlineStr">
        <is>
          <t>9780849335105</t>
        </is>
      </c>
      <c r="BC908" t="inlineStr">
        <is>
          <t>32285001508224</t>
        </is>
      </c>
      <c r="BD908" t="inlineStr">
        <is>
          <t>893497322</t>
        </is>
      </c>
    </row>
    <row r="909">
      <c r="A909" t="inlineStr">
        <is>
          <t>No</t>
        </is>
      </c>
      <c r="B909" t="inlineStr">
        <is>
          <t>QD431.7 .C73 1984</t>
        </is>
      </c>
      <c r="C909" t="inlineStr">
        <is>
          <t>0                      QD 0431700C  73          1984</t>
        </is>
      </c>
      <c r="D909" t="inlineStr">
        <is>
          <t>CRC handbook of HPLC for the separation of amino acids, peptides, and proteins / editor, William S. Hancock.</t>
        </is>
      </c>
      <c r="E909" t="inlineStr">
        <is>
          <t>V. 1</t>
        </is>
      </c>
      <c r="F909" t="inlineStr">
        <is>
          <t>Yes</t>
        </is>
      </c>
      <c r="G909" t="inlineStr">
        <is>
          <t>1</t>
        </is>
      </c>
      <c r="H909" t="inlineStr">
        <is>
          <t>Yes</t>
        </is>
      </c>
      <c r="I909" t="inlineStr">
        <is>
          <t>No</t>
        </is>
      </c>
      <c r="J909" t="inlineStr">
        <is>
          <t>0</t>
        </is>
      </c>
      <c r="L909" t="inlineStr">
        <is>
          <t>Boca Raton, Fla. : CRC Press, c1984, 1985 printing.</t>
        </is>
      </c>
      <c r="M909" t="inlineStr">
        <is>
          <t>1984</t>
        </is>
      </c>
      <c r="O909" t="inlineStr">
        <is>
          <t>eng</t>
        </is>
      </c>
      <c r="P909" t="inlineStr">
        <is>
          <t>flu</t>
        </is>
      </c>
      <c r="R909" t="inlineStr">
        <is>
          <t xml:space="preserve">QD </t>
        </is>
      </c>
      <c r="S909" t="n">
        <v>4</v>
      </c>
      <c r="T909" t="n">
        <v>13</v>
      </c>
      <c r="U909" t="inlineStr">
        <is>
          <t>1993-10-05</t>
        </is>
      </c>
      <c r="V909" t="inlineStr">
        <is>
          <t>2002-02-18</t>
        </is>
      </c>
      <c r="W909" t="inlineStr">
        <is>
          <t>1993-02-09</t>
        </is>
      </c>
      <c r="X909" t="inlineStr">
        <is>
          <t>1993-02-09</t>
        </is>
      </c>
      <c r="Y909" t="n">
        <v>530</v>
      </c>
      <c r="Z909" t="n">
        <v>399</v>
      </c>
      <c r="AA909" t="n">
        <v>405</v>
      </c>
      <c r="AB909" t="n">
        <v>3</v>
      </c>
      <c r="AC909" t="n">
        <v>3</v>
      </c>
      <c r="AD909" t="n">
        <v>9</v>
      </c>
      <c r="AE909" t="n">
        <v>9</v>
      </c>
      <c r="AF909" t="n">
        <v>1</v>
      </c>
      <c r="AG909" t="n">
        <v>1</v>
      </c>
      <c r="AH909" t="n">
        <v>3</v>
      </c>
      <c r="AI909" t="n">
        <v>3</v>
      </c>
      <c r="AJ909" t="n">
        <v>6</v>
      </c>
      <c r="AK909" t="n">
        <v>6</v>
      </c>
      <c r="AL909" t="n">
        <v>1</v>
      </c>
      <c r="AM909" t="n">
        <v>1</v>
      </c>
      <c r="AN909" t="n">
        <v>0</v>
      </c>
      <c r="AO909" t="n">
        <v>0</v>
      </c>
      <c r="AP909" t="inlineStr">
        <is>
          <t>No</t>
        </is>
      </c>
      <c r="AQ909" t="inlineStr">
        <is>
          <t>Yes</t>
        </is>
      </c>
      <c r="AR909">
        <f>HYPERLINK("http://catalog.hathitrust.org/Record/000208455","HathiTrust Record")</f>
        <v/>
      </c>
      <c r="AS909">
        <f>HYPERLINK("https://creighton-primo.hosted.exlibrisgroup.com/primo-explore/search?tab=default_tab&amp;search_scope=EVERYTHING&amp;vid=01CRU&amp;lang=en_US&amp;offset=0&amp;query=any,contains,991001746339702656","Catalog Record")</f>
        <v/>
      </c>
      <c r="AT909">
        <f>HYPERLINK("http://www.worldcat.org/oclc/9757331","WorldCat Record")</f>
        <v/>
      </c>
      <c r="AU909" t="inlineStr">
        <is>
          <t>10141824727:eng</t>
        </is>
      </c>
      <c r="AV909" t="inlineStr">
        <is>
          <t>9757331</t>
        </is>
      </c>
      <c r="AW909" t="inlineStr">
        <is>
          <t>991001746339702656</t>
        </is>
      </c>
      <c r="AX909" t="inlineStr">
        <is>
          <t>991001746339702656</t>
        </is>
      </c>
      <c r="AY909" t="inlineStr">
        <is>
          <t>2256414120002656</t>
        </is>
      </c>
      <c r="AZ909" t="inlineStr">
        <is>
          <t>BOOK</t>
        </is>
      </c>
      <c r="BB909" t="inlineStr">
        <is>
          <t>9780849335105</t>
        </is>
      </c>
      <c r="BC909" t="inlineStr">
        <is>
          <t>32285001508216</t>
        </is>
      </c>
      <c r="BD909" t="inlineStr">
        <is>
          <t>893497321</t>
        </is>
      </c>
    </row>
    <row r="910">
      <c r="A910" t="inlineStr">
        <is>
          <t>No</t>
        </is>
      </c>
      <c r="B910" t="inlineStr">
        <is>
          <t>QD433 .G87</t>
        </is>
      </c>
      <c r="C910" t="inlineStr">
        <is>
          <t>0                      QD 0433000G  87</t>
        </is>
      </c>
      <c r="D910" t="inlineStr">
        <is>
          <t>Nucleic acid structure : an introduction / W. Guschlbauer.</t>
        </is>
      </c>
      <c r="F910" t="inlineStr">
        <is>
          <t>No</t>
        </is>
      </c>
      <c r="G910" t="inlineStr">
        <is>
          <t>1</t>
        </is>
      </c>
      <c r="H910" t="inlineStr">
        <is>
          <t>No</t>
        </is>
      </c>
      <c r="I910" t="inlineStr">
        <is>
          <t>No</t>
        </is>
      </c>
      <c r="J910" t="inlineStr">
        <is>
          <t>0</t>
        </is>
      </c>
      <c r="K910" t="inlineStr">
        <is>
          <t>Guschlbauer, Wilhelm.</t>
        </is>
      </c>
      <c r="L910" t="inlineStr">
        <is>
          <t>New York : Springer-Verlag, 1976.</t>
        </is>
      </c>
      <c r="M910" t="inlineStr">
        <is>
          <t>1976</t>
        </is>
      </c>
      <c r="O910" t="inlineStr">
        <is>
          <t>eng</t>
        </is>
      </c>
      <c r="P910" t="inlineStr">
        <is>
          <t>nyu</t>
        </is>
      </c>
      <c r="Q910" t="inlineStr">
        <is>
          <t>Heidelberg science library ; v. 21</t>
        </is>
      </c>
      <c r="R910" t="inlineStr">
        <is>
          <t xml:space="preserve">QD </t>
        </is>
      </c>
      <c r="S910" t="n">
        <v>6</v>
      </c>
      <c r="T910" t="n">
        <v>6</v>
      </c>
      <c r="U910" t="inlineStr">
        <is>
          <t>2000-11-22</t>
        </is>
      </c>
      <c r="V910" t="inlineStr">
        <is>
          <t>2000-11-22</t>
        </is>
      </c>
      <c r="W910" t="inlineStr">
        <is>
          <t>1992-01-14</t>
        </is>
      </c>
      <c r="X910" t="inlineStr">
        <is>
          <t>1992-01-14</t>
        </is>
      </c>
      <c r="Y910" t="n">
        <v>282</v>
      </c>
      <c r="Z910" t="n">
        <v>191</v>
      </c>
      <c r="AA910" t="n">
        <v>215</v>
      </c>
      <c r="AB910" t="n">
        <v>3</v>
      </c>
      <c r="AC910" t="n">
        <v>3</v>
      </c>
      <c r="AD910" t="n">
        <v>8</v>
      </c>
      <c r="AE910" t="n">
        <v>9</v>
      </c>
      <c r="AF910" t="n">
        <v>2</v>
      </c>
      <c r="AG910" t="n">
        <v>3</v>
      </c>
      <c r="AH910" t="n">
        <v>3</v>
      </c>
      <c r="AI910" t="n">
        <v>3</v>
      </c>
      <c r="AJ910" t="n">
        <v>4</v>
      </c>
      <c r="AK910" t="n">
        <v>5</v>
      </c>
      <c r="AL910" t="n">
        <v>2</v>
      </c>
      <c r="AM910" t="n">
        <v>2</v>
      </c>
      <c r="AN910" t="n">
        <v>0</v>
      </c>
      <c r="AO910" t="n">
        <v>0</v>
      </c>
      <c r="AP910" t="inlineStr">
        <is>
          <t>No</t>
        </is>
      </c>
      <c r="AQ910" t="inlineStr">
        <is>
          <t>Yes</t>
        </is>
      </c>
      <c r="AR910">
        <f>HYPERLINK("http://catalog.hathitrust.org/Record/000769697","HathiTrust Record")</f>
        <v/>
      </c>
      <c r="AS910">
        <f>HYPERLINK("https://creighton-primo.hosted.exlibrisgroup.com/primo-explore/search?tab=default_tab&amp;search_scope=EVERYTHING&amp;vid=01CRU&amp;lang=en_US&amp;offset=0&amp;query=any,contains,991003692179702656","Catalog Record")</f>
        <v/>
      </c>
      <c r="AT910">
        <f>HYPERLINK("http://www.worldcat.org/oclc/1323011","WorldCat Record")</f>
        <v/>
      </c>
      <c r="AU910" t="inlineStr">
        <is>
          <t>807450817:eng</t>
        </is>
      </c>
      <c r="AV910" t="inlineStr">
        <is>
          <t>1323011</t>
        </is>
      </c>
      <c r="AW910" t="inlineStr">
        <is>
          <t>991003692179702656</t>
        </is>
      </c>
      <c r="AX910" t="inlineStr">
        <is>
          <t>991003692179702656</t>
        </is>
      </c>
      <c r="AY910" t="inlineStr">
        <is>
          <t>2255403780002656</t>
        </is>
      </c>
      <c r="AZ910" t="inlineStr">
        <is>
          <t>BOOK</t>
        </is>
      </c>
      <c r="BB910" t="inlineStr">
        <is>
          <t>9780387901411</t>
        </is>
      </c>
      <c r="BC910" t="inlineStr">
        <is>
          <t>32285000911791</t>
        </is>
      </c>
      <c r="BD910" t="inlineStr">
        <is>
          <t>893410569</t>
        </is>
      </c>
    </row>
    <row r="911">
      <c r="A911" t="inlineStr">
        <is>
          <t>No</t>
        </is>
      </c>
      <c r="B911" t="inlineStr">
        <is>
          <t>QD45 .L44 2000</t>
        </is>
      </c>
      <c r="C911" t="inlineStr">
        <is>
          <t>0                      QD 0045000L  44          2000</t>
        </is>
      </c>
      <c r="D911" t="inlineStr">
        <is>
          <t>Inquiry-based experiments in chemistry / Valerie Ludwig Lechtanski.</t>
        </is>
      </c>
      <c r="F911" t="inlineStr">
        <is>
          <t>No</t>
        </is>
      </c>
      <c r="G911" t="inlineStr">
        <is>
          <t>1</t>
        </is>
      </c>
      <c r="H911" t="inlineStr">
        <is>
          <t>No</t>
        </is>
      </c>
      <c r="I911" t="inlineStr">
        <is>
          <t>No</t>
        </is>
      </c>
      <c r="J911" t="inlineStr">
        <is>
          <t>0</t>
        </is>
      </c>
      <c r="K911" t="inlineStr">
        <is>
          <t>Lechtanski, Valerie Ludwig, 1958-</t>
        </is>
      </c>
      <c r="L911" t="inlineStr">
        <is>
          <t>Oxford [England] ; Oxford University Press ; Washington, D.C. : American Chemical Society, 2000.</t>
        </is>
      </c>
      <c r="M911" t="inlineStr">
        <is>
          <t>2000</t>
        </is>
      </c>
      <c r="O911" t="inlineStr">
        <is>
          <t>eng</t>
        </is>
      </c>
      <c r="P911" t="inlineStr">
        <is>
          <t>enk</t>
        </is>
      </c>
      <c r="R911" t="inlineStr">
        <is>
          <t xml:space="preserve">QD </t>
        </is>
      </c>
      <c r="S911" t="n">
        <v>5</v>
      </c>
      <c r="T911" t="n">
        <v>5</v>
      </c>
      <c r="U911" t="inlineStr">
        <is>
          <t>2001-05-16</t>
        </is>
      </c>
      <c r="V911" t="inlineStr">
        <is>
          <t>2001-05-16</t>
        </is>
      </c>
      <c r="W911" t="inlineStr">
        <is>
          <t>2001-04-19</t>
        </is>
      </c>
      <c r="X911" t="inlineStr">
        <is>
          <t>2001-04-19</t>
        </is>
      </c>
      <c r="Y911" t="n">
        <v>305</v>
      </c>
      <c r="Z911" t="n">
        <v>250</v>
      </c>
      <c r="AA911" t="n">
        <v>256</v>
      </c>
      <c r="AB911" t="n">
        <v>3</v>
      </c>
      <c r="AC911" t="n">
        <v>3</v>
      </c>
      <c r="AD911" t="n">
        <v>8</v>
      </c>
      <c r="AE911" t="n">
        <v>8</v>
      </c>
      <c r="AF911" t="n">
        <v>1</v>
      </c>
      <c r="AG911" t="n">
        <v>1</v>
      </c>
      <c r="AH911" t="n">
        <v>1</v>
      </c>
      <c r="AI911" t="n">
        <v>1</v>
      </c>
      <c r="AJ911" t="n">
        <v>4</v>
      </c>
      <c r="AK911" t="n">
        <v>4</v>
      </c>
      <c r="AL911" t="n">
        <v>2</v>
      </c>
      <c r="AM911" t="n">
        <v>2</v>
      </c>
      <c r="AN911" t="n">
        <v>0</v>
      </c>
      <c r="AO911" t="n">
        <v>0</v>
      </c>
      <c r="AP911" t="inlineStr">
        <is>
          <t>No</t>
        </is>
      </c>
      <c r="AQ911" t="inlineStr">
        <is>
          <t>Yes</t>
        </is>
      </c>
      <c r="AR911">
        <f>HYPERLINK("http://catalog.hathitrust.org/Record/004098383","HathiTrust Record")</f>
        <v/>
      </c>
      <c r="AS911">
        <f>HYPERLINK("https://creighton-primo.hosted.exlibrisgroup.com/primo-explore/search?tab=default_tab&amp;search_scope=EVERYTHING&amp;vid=01CRU&amp;lang=en_US&amp;offset=0&amp;query=any,contains,991003502919702656","Catalog Record")</f>
        <v/>
      </c>
      <c r="AT911">
        <f>HYPERLINK("http://www.worldcat.org/oclc/40473752","WorldCat Record")</f>
        <v/>
      </c>
      <c r="AU911" t="inlineStr">
        <is>
          <t>25561604:eng</t>
        </is>
      </c>
      <c r="AV911" t="inlineStr">
        <is>
          <t>40473752</t>
        </is>
      </c>
      <c r="AW911" t="inlineStr">
        <is>
          <t>991003502919702656</t>
        </is>
      </c>
      <c r="AX911" t="inlineStr">
        <is>
          <t>991003502919702656</t>
        </is>
      </c>
      <c r="AY911" t="inlineStr">
        <is>
          <t>2264270600002656</t>
        </is>
      </c>
      <c r="AZ911" t="inlineStr">
        <is>
          <t>BOOK</t>
        </is>
      </c>
      <c r="BB911" t="inlineStr">
        <is>
          <t>9780841235700</t>
        </is>
      </c>
      <c r="BC911" t="inlineStr">
        <is>
          <t>32285004313523</t>
        </is>
      </c>
      <c r="BD911" t="inlineStr">
        <is>
          <t>893252430</t>
        </is>
      </c>
    </row>
    <row r="912">
      <c r="A912" t="inlineStr">
        <is>
          <t>No</t>
        </is>
      </c>
      <c r="B912" t="inlineStr">
        <is>
          <t>QD45 .W71</t>
        </is>
      </c>
      <c r="C912" t="inlineStr">
        <is>
          <t>0                      QD 0045000W  71</t>
        </is>
      </c>
      <c r="D912" t="inlineStr">
        <is>
          <t>Chemical experiments, general and analytical : for use with any text-book of chemistry, or without a text-book / by R. P. Williams.</t>
        </is>
      </c>
      <c r="F912" t="inlineStr">
        <is>
          <t>No</t>
        </is>
      </c>
      <c r="G912" t="inlineStr">
        <is>
          <t>1</t>
        </is>
      </c>
      <c r="H912" t="inlineStr">
        <is>
          <t>No</t>
        </is>
      </c>
      <c r="I912" t="inlineStr">
        <is>
          <t>No</t>
        </is>
      </c>
      <c r="J912" t="inlineStr">
        <is>
          <t>0</t>
        </is>
      </c>
      <c r="K912" t="inlineStr">
        <is>
          <t>Williams, Rufus P. (Rufus Phillips), 1851-1911.</t>
        </is>
      </c>
      <c r="L912" t="inlineStr">
        <is>
          <t>Boston ; London : Ginn &amp; company, 1895.</t>
        </is>
      </c>
      <c r="M912" t="inlineStr">
        <is>
          <t>1895</t>
        </is>
      </c>
      <c r="O912" t="inlineStr">
        <is>
          <t>eng</t>
        </is>
      </c>
      <c r="P912" t="inlineStr">
        <is>
          <t>mau</t>
        </is>
      </c>
      <c r="R912" t="inlineStr">
        <is>
          <t xml:space="preserve">QD </t>
        </is>
      </c>
      <c r="S912" t="n">
        <v>3</v>
      </c>
      <c r="T912" t="n">
        <v>3</v>
      </c>
      <c r="U912" t="inlineStr">
        <is>
          <t>1994-11-28</t>
        </is>
      </c>
      <c r="V912" t="inlineStr">
        <is>
          <t>1994-11-28</t>
        </is>
      </c>
      <c r="W912" t="inlineStr">
        <is>
          <t>1991-02-19</t>
        </is>
      </c>
      <c r="X912" t="inlineStr">
        <is>
          <t>1991-02-19</t>
        </is>
      </c>
      <c r="Y912" t="n">
        <v>24</v>
      </c>
      <c r="Z912" t="n">
        <v>23</v>
      </c>
      <c r="AA912" t="n">
        <v>40</v>
      </c>
      <c r="AB912" t="n">
        <v>1</v>
      </c>
      <c r="AC912" t="n">
        <v>1</v>
      </c>
      <c r="AD912" t="n">
        <v>1</v>
      </c>
      <c r="AE912" t="n">
        <v>1</v>
      </c>
      <c r="AF912" t="n">
        <v>0</v>
      </c>
      <c r="AG912" t="n">
        <v>0</v>
      </c>
      <c r="AH912" t="n">
        <v>1</v>
      </c>
      <c r="AI912" t="n">
        <v>1</v>
      </c>
      <c r="AJ912" t="n">
        <v>0</v>
      </c>
      <c r="AK912" t="n">
        <v>0</v>
      </c>
      <c r="AL912" t="n">
        <v>0</v>
      </c>
      <c r="AM912" t="n">
        <v>0</v>
      </c>
      <c r="AN912" t="n">
        <v>0</v>
      </c>
      <c r="AO912" t="n">
        <v>0</v>
      </c>
      <c r="AP912" t="inlineStr">
        <is>
          <t>Yes</t>
        </is>
      </c>
      <c r="AQ912" t="inlineStr">
        <is>
          <t>No</t>
        </is>
      </c>
      <c r="AR912">
        <f>HYPERLINK("http://catalog.hathitrust.org/Record/001486934","HathiTrust Record")</f>
        <v/>
      </c>
      <c r="AS912">
        <f>HYPERLINK("https://creighton-primo.hosted.exlibrisgroup.com/primo-explore/search?tab=default_tab&amp;search_scope=EVERYTHING&amp;vid=01CRU&amp;lang=en_US&amp;offset=0&amp;query=any,contains,991004922289702656","Catalog Record")</f>
        <v/>
      </c>
      <c r="AT912">
        <f>HYPERLINK("http://www.worldcat.org/oclc/6057201","WorldCat Record")</f>
        <v/>
      </c>
      <c r="AU912" t="inlineStr">
        <is>
          <t>375729448:eng</t>
        </is>
      </c>
      <c r="AV912" t="inlineStr">
        <is>
          <t>6057201</t>
        </is>
      </c>
      <c r="AW912" t="inlineStr">
        <is>
          <t>991004922289702656</t>
        </is>
      </c>
      <c r="AX912" t="inlineStr">
        <is>
          <t>991004922289702656</t>
        </is>
      </c>
      <c r="AY912" t="inlineStr">
        <is>
          <t>2259479020002656</t>
        </is>
      </c>
      <c r="AZ912" t="inlineStr">
        <is>
          <t>BOOK</t>
        </is>
      </c>
      <c r="BC912" t="inlineStr">
        <is>
          <t>32285000497858</t>
        </is>
      </c>
      <c r="BD912" t="inlineStr">
        <is>
          <t>893713219</t>
        </is>
      </c>
    </row>
    <row r="913">
      <c r="A913" t="inlineStr">
        <is>
          <t>No</t>
        </is>
      </c>
      <c r="B913" t="inlineStr">
        <is>
          <t>QD452.5.U6 S47 1990</t>
        </is>
      </c>
      <c r="C913" t="inlineStr">
        <is>
          <t>0                      QD 0452500U  6                  S  47          1990</t>
        </is>
      </c>
      <c r="D913" t="inlineStr">
        <is>
          <t>Physical chemistry from Ostwald to Pauling : the making of a science in America / John W. Servos.</t>
        </is>
      </c>
      <c r="F913" t="inlineStr">
        <is>
          <t>No</t>
        </is>
      </c>
      <c r="G913" t="inlineStr">
        <is>
          <t>1</t>
        </is>
      </c>
      <c r="H913" t="inlineStr">
        <is>
          <t>No</t>
        </is>
      </c>
      <c r="I913" t="inlineStr">
        <is>
          <t>No</t>
        </is>
      </c>
      <c r="J913" t="inlineStr">
        <is>
          <t>0</t>
        </is>
      </c>
      <c r="K913" t="inlineStr">
        <is>
          <t>Servos, John W. (John William), 1951-</t>
        </is>
      </c>
      <c r="L913" t="inlineStr">
        <is>
          <t>Princeton, N.J. : Princeton University Press, c1990.</t>
        </is>
      </c>
      <c r="M913" t="inlineStr">
        <is>
          <t>1990</t>
        </is>
      </c>
      <c r="O913" t="inlineStr">
        <is>
          <t>eng</t>
        </is>
      </c>
      <c r="P913" t="inlineStr">
        <is>
          <t>nju</t>
        </is>
      </c>
      <c r="R913" t="inlineStr">
        <is>
          <t xml:space="preserve">QD </t>
        </is>
      </c>
      <c r="S913" t="n">
        <v>3</v>
      </c>
      <c r="T913" t="n">
        <v>3</v>
      </c>
      <c r="U913" t="inlineStr">
        <is>
          <t>2005-03-01</t>
        </is>
      </c>
      <c r="V913" t="inlineStr">
        <is>
          <t>2005-03-01</t>
        </is>
      </c>
      <c r="W913" t="inlineStr">
        <is>
          <t>1990-12-28</t>
        </is>
      </c>
      <c r="X913" t="inlineStr">
        <is>
          <t>1990-12-28</t>
        </is>
      </c>
      <c r="Y913" t="n">
        <v>683</v>
      </c>
      <c r="Z913" t="n">
        <v>571</v>
      </c>
      <c r="AA913" t="n">
        <v>699</v>
      </c>
      <c r="AB913" t="n">
        <v>7</v>
      </c>
      <c r="AC913" t="n">
        <v>7</v>
      </c>
      <c r="AD913" t="n">
        <v>32</v>
      </c>
      <c r="AE913" t="n">
        <v>38</v>
      </c>
      <c r="AF913" t="n">
        <v>12</v>
      </c>
      <c r="AG913" t="n">
        <v>15</v>
      </c>
      <c r="AH913" t="n">
        <v>6</v>
      </c>
      <c r="AI913" t="n">
        <v>10</v>
      </c>
      <c r="AJ913" t="n">
        <v>14</v>
      </c>
      <c r="AK913" t="n">
        <v>15</v>
      </c>
      <c r="AL913" t="n">
        <v>6</v>
      </c>
      <c r="AM913" t="n">
        <v>6</v>
      </c>
      <c r="AN913" t="n">
        <v>0</v>
      </c>
      <c r="AO913" t="n">
        <v>0</v>
      </c>
      <c r="AP913" t="inlineStr">
        <is>
          <t>No</t>
        </is>
      </c>
      <c r="AQ913" t="inlineStr">
        <is>
          <t>No</t>
        </is>
      </c>
      <c r="AS913">
        <f>HYPERLINK("https://creighton-primo.hosted.exlibrisgroup.com/primo-explore/search?tab=default_tab&amp;search_scope=EVERYTHING&amp;vid=01CRU&amp;lang=en_US&amp;offset=0&amp;query=any,contains,991001625819702656","Catalog Record")</f>
        <v/>
      </c>
      <c r="AT913">
        <f>HYPERLINK("http://www.worldcat.org/oclc/20852420","WorldCat Record")</f>
        <v/>
      </c>
      <c r="AU913" t="inlineStr">
        <is>
          <t>807098788:eng</t>
        </is>
      </c>
      <c r="AV913" t="inlineStr">
        <is>
          <t>20852420</t>
        </is>
      </c>
      <c r="AW913" t="inlineStr">
        <is>
          <t>991001625819702656</t>
        </is>
      </c>
      <c r="AX913" t="inlineStr">
        <is>
          <t>991001625819702656</t>
        </is>
      </c>
      <c r="AY913" t="inlineStr">
        <is>
          <t>2265016790002656</t>
        </is>
      </c>
      <c r="AZ913" t="inlineStr">
        <is>
          <t>BOOK</t>
        </is>
      </c>
      <c r="BB913" t="inlineStr">
        <is>
          <t>9780691085661</t>
        </is>
      </c>
      <c r="BC913" t="inlineStr">
        <is>
          <t>32285000406032</t>
        </is>
      </c>
      <c r="BD913" t="inlineStr">
        <is>
          <t>893256354</t>
        </is>
      </c>
    </row>
    <row r="914">
      <c r="A914" t="inlineStr">
        <is>
          <t>No</t>
        </is>
      </c>
      <c r="B914" t="inlineStr">
        <is>
          <t>QD453 .A27 v. 120</t>
        </is>
      </c>
      <c r="C914" t="inlineStr">
        <is>
          <t>0                      QD 0453000A  27                                                      v. 120</t>
        </is>
      </c>
      <c r="D914" t="inlineStr">
        <is>
          <t>Computational methods for protein folding / edited by Richard A. Friesner.</t>
        </is>
      </c>
      <c r="E914" t="inlineStr">
        <is>
          <t>V. 120</t>
        </is>
      </c>
      <c r="F914" t="inlineStr">
        <is>
          <t>No</t>
        </is>
      </c>
      <c r="G914" t="inlineStr">
        <is>
          <t>1</t>
        </is>
      </c>
      <c r="H914" t="inlineStr">
        <is>
          <t>No</t>
        </is>
      </c>
      <c r="I914" t="inlineStr">
        <is>
          <t>No</t>
        </is>
      </c>
      <c r="J914" t="inlineStr">
        <is>
          <t>0</t>
        </is>
      </c>
      <c r="L914" t="inlineStr">
        <is>
          <t>New York : Chichester : Wiley, 2002.</t>
        </is>
      </c>
      <c r="M914" t="inlineStr">
        <is>
          <t>2002</t>
        </is>
      </c>
      <c r="O914" t="inlineStr">
        <is>
          <t>eng</t>
        </is>
      </c>
      <c r="P914" t="inlineStr">
        <is>
          <t>nyu</t>
        </is>
      </c>
      <c r="Q914" t="inlineStr">
        <is>
          <t>Advances in chemical physics ; v. 120</t>
        </is>
      </c>
      <c r="R914" t="inlineStr">
        <is>
          <t xml:space="preserve">QD </t>
        </is>
      </c>
      <c r="S914" t="n">
        <v>2</v>
      </c>
      <c r="T914" t="n">
        <v>2</v>
      </c>
      <c r="U914" t="inlineStr">
        <is>
          <t>2002-02-11</t>
        </is>
      </c>
      <c r="V914" t="inlineStr">
        <is>
          <t>2002-02-11</t>
        </is>
      </c>
      <c r="W914" t="inlineStr">
        <is>
          <t>2002-02-11</t>
        </is>
      </c>
      <c r="X914" t="inlineStr">
        <is>
          <t>2002-02-11</t>
        </is>
      </c>
      <c r="Y914" t="n">
        <v>152</v>
      </c>
      <c r="Z914" t="n">
        <v>118</v>
      </c>
      <c r="AA914" t="n">
        <v>320</v>
      </c>
      <c r="AB914" t="n">
        <v>1</v>
      </c>
      <c r="AC914" t="n">
        <v>1</v>
      </c>
      <c r="AD914" t="n">
        <v>5</v>
      </c>
      <c r="AE914" t="n">
        <v>9</v>
      </c>
      <c r="AF914" t="n">
        <v>1</v>
      </c>
      <c r="AG914" t="n">
        <v>2</v>
      </c>
      <c r="AH914" t="n">
        <v>0</v>
      </c>
      <c r="AI914" t="n">
        <v>2</v>
      </c>
      <c r="AJ914" t="n">
        <v>5</v>
      </c>
      <c r="AK914" t="n">
        <v>8</v>
      </c>
      <c r="AL914" t="n">
        <v>0</v>
      </c>
      <c r="AM914" t="n">
        <v>0</v>
      </c>
      <c r="AN914" t="n">
        <v>0</v>
      </c>
      <c r="AO914" t="n">
        <v>0</v>
      </c>
      <c r="AP914" t="inlineStr">
        <is>
          <t>No</t>
        </is>
      </c>
      <c r="AQ914" t="inlineStr">
        <is>
          <t>Yes</t>
        </is>
      </c>
      <c r="AR914">
        <f>HYPERLINK("http://catalog.hathitrust.org/Record/003591425","HathiTrust Record")</f>
        <v/>
      </c>
      <c r="AS914">
        <f>HYPERLINK("https://creighton-primo.hosted.exlibrisgroup.com/primo-explore/search?tab=default_tab&amp;search_scope=EVERYTHING&amp;vid=01CRU&amp;lang=en_US&amp;offset=0&amp;query=any,contains,991003718909702656","Catalog Record")</f>
        <v/>
      </c>
      <c r="AT914">
        <f>HYPERLINK("http://www.worldcat.org/oclc/908528998","WorldCat Record")</f>
        <v/>
      </c>
      <c r="AU914" t="inlineStr">
        <is>
          <t>766906857:eng</t>
        </is>
      </c>
      <c r="AV914" t="inlineStr">
        <is>
          <t>908528998</t>
        </is>
      </c>
      <c r="AW914" t="inlineStr">
        <is>
          <t>991003718909702656</t>
        </is>
      </c>
      <c r="AX914" t="inlineStr">
        <is>
          <t>991003718909702656</t>
        </is>
      </c>
      <c r="AY914" t="inlineStr">
        <is>
          <t>2271328530002656</t>
        </is>
      </c>
      <c r="AZ914" t="inlineStr">
        <is>
          <t>BOOK</t>
        </is>
      </c>
      <c r="BB914" t="inlineStr">
        <is>
          <t>9780471209553</t>
        </is>
      </c>
      <c r="BC914" t="inlineStr">
        <is>
          <t>32285004453782</t>
        </is>
      </c>
      <c r="BD914" t="inlineStr">
        <is>
          <t>893518798</t>
        </is>
      </c>
    </row>
    <row r="915">
      <c r="A915" t="inlineStr">
        <is>
          <t>No</t>
        </is>
      </c>
      <c r="B915" t="inlineStr">
        <is>
          <t>QD453 .A27 v. 124</t>
        </is>
      </c>
      <c r="C915" t="inlineStr">
        <is>
          <t>0                      QD 0453000A  27                                                      v. 124</t>
        </is>
      </c>
      <c r="D915" t="inlineStr">
        <is>
          <t>The role of degenerate states in chemistry / edited by Michael Baer and Gert Billing.</t>
        </is>
      </c>
      <c r="E915" t="inlineStr">
        <is>
          <t>V. 124</t>
        </is>
      </c>
      <c r="F915" t="inlineStr">
        <is>
          <t>No</t>
        </is>
      </c>
      <c r="G915" t="inlineStr">
        <is>
          <t>1</t>
        </is>
      </c>
      <c r="H915" t="inlineStr">
        <is>
          <t>No</t>
        </is>
      </c>
      <c r="I915" t="inlineStr">
        <is>
          <t>No</t>
        </is>
      </c>
      <c r="J915" t="inlineStr">
        <is>
          <t>0</t>
        </is>
      </c>
      <c r="L915" t="inlineStr">
        <is>
          <t>Hoboken, N.J. : J. Wiley &amp; Sons, c2002.</t>
        </is>
      </c>
      <c r="M915" t="inlineStr">
        <is>
          <t>2002</t>
        </is>
      </c>
      <c r="O915" t="inlineStr">
        <is>
          <t>eng</t>
        </is>
      </c>
      <c r="P915" t="inlineStr">
        <is>
          <t>nju</t>
        </is>
      </c>
      <c r="Q915" t="inlineStr">
        <is>
          <t>Advances in chemical physics ; v. 124</t>
        </is>
      </c>
      <c r="R915" t="inlineStr">
        <is>
          <t xml:space="preserve">QD </t>
        </is>
      </c>
      <c r="S915" t="n">
        <v>1</v>
      </c>
      <c r="T915" t="n">
        <v>1</v>
      </c>
      <c r="U915" t="inlineStr">
        <is>
          <t>2002-09-11</t>
        </is>
      </c>
      <c r="V915" t="inlineStr">
        <is>
          <t>2002-09-11</t>
        </is>
      </c>
      <c r="W915" t="inlineStr">
        <is>
          <t>2002-09-11</t>
        </is>
      </c>
      <c r="X915" t="inlineStr">
        <is>
          <t>2002-09-11</t>
        </is>
      </c>
      <c r="Y915" t="n">
        <v>137</v>
      </c>
      <c r="Z915" t="n">
        <v>102</v>
      </c>
      <c r="AA915" t="n">
        <v>425</v>
      </c>
      <c r="AB915" t="n">
        <v>1</v>
      </c>
      <c r="AC915" t="n">
        <v>27</v>
      </c>
      <c r="AD915" t="n">
        <v>4</v>
      </c>
      <c r="AE915" t="n">
        <v>21</v>
      </c>
      <c r="AF915" t="n">
        <v>0</v>
      </c>
      <c r="AG915" t="n">
        <v>3</v>
      </c>
      <c r="AH915" t="n">
        <v>0</v>
      </c>
      <c r="AI915" t="n">
        <v>0</v>
      </c>
      <c r="AJ915" t="n">
        <v>4</v>
      </c>
      <c r="AK915" t="n">
        <v>7</v>
      </c>
      <c r="AL915" t="n">
        <v>0</v>
      </c>
      <c r="AM915" t="n">
        <v>12</v>
      </c>
      <c r="AN915" t="n">
        <v>0</v>
      </c>
      <c r="AO915" t="n">
        <v>0</v>
      </c>
      <c r="AP915" t="inlineStr">
        <is>
          <t>No</t>
        </is>
      </c>
      <c r="AQ915" t="inlineStr">
        <is>
          <t>Yes</t>
        </is>
      </c>
      <c r="AR915">
        <f>HYPERLINK("http://catalog.hathitrust.org/Record/003793113","HathiTrust Record")</f>
        <v/>
      </c>
      <c r="AS915">
        <f>HYPERLINK("https://creighton-primo.hosted.exlibrisgroup.com/primo-explore/search?tab=default_tab&amp;search_scope=EVERYTHING&amp;vid=01CRU&amp;lang=en_US&amp;offset=0&amp;query=any,contains,991003879589702656","Catalog Record")</f>
        <v/>
      </c>
      <c r="AT915">
        <f>HYPERLINK("http://www.worldcat.org/oclc/50489225","WorldCat Record")</f>
        <v/>
      </c>
      <c r="AU915" t="inlineStr">
        <is>
          <t>1117699704:eng</t>
        </is>
      </c>
      <c r="AV915" t="inlineStr">
        <is>
          <t>50489225</t>
        </is>
      </c>
      <c r="AW915" t="inlineStr">
        <is>
          <t>991003879589702656</t>
        </is>
      </c>
      <c r="AX915" t="inlineStr">
        <is>
          <t>991003879589702656</t>
        </is>
      </c>
      <c r="AY915" t="inlineStr">
        <is>
          <t>2259121370002656</t>
        </is>
      </c>
      <c r="AZ915" t="inlineStr">
        <is>
          <t>BOOK</t>
        </is>
      </c>
      <c r="BB915" t="inlineStr">
        <is>
          <t>9780471438175</t>
        </is>
      </c>
      <c r="BC915" t="inlineStr">
        <is>
          <t>32285004647151</t>
        </is>
      </c>
      <c r="BD915" t="inlineStr">
        <is>
          <t>893624016</t>
        </is>
      </c>
    </row>
    <row r="916">
      <c r="A916" t="inlineStr">
        <is>
          <t>No</t>
        </is>
      </c>
      <c r="B916" t="inlineStr">
        <is>
          <t>QD453 .A27 v. 130</t>
        </is>
      </c>
      <c r="C916" t="inlineStr">
        <is>
          <t>0                      QD 0453000A  27                                                      v. 130</t>
        </is>
      </c>
      <c r="D916" t="inlineStr">
        <is>
          <t>Geometric structures of phase space in multi-dimensional chaos : Applications to chemical reaction dynamics in complex systems / edited by Mikito Toda ... [et al.].</t>
        </is>
      </c>
      <c r="E916" t="inlineStr">
        <is>
          <t>V. 130 PT. B</t>
        </is>
      </c>
      <c r="F916" t="inlineStr">
        <is>
          <t>Yes</t>
        </is>
      </c>
      <c r="G916" t="inlineStr">
        <is>
          <t>1</t>
        </is>
      </c>
      <c r="H916" t="inlineStr">
        <is>
          <t>No</t>
        </is>
      </c>
      <c r="I916" t="inlineStr">
        <is>
          <t>No</t>
        </is>
      </c>
      <c r="J916" t="inlineStr">
        <is>
          <t>0</t>
        </is>
      </c>
      <c r="L916" t="inlineStr">
        <is>
          <t>New York ; Chichester : Wiley, 2005.</t>
        </is>
      </c>
      <c r="M916" t="inlineStr">
        <is>
          <t>2005</t>
        </is>
      </c>
      <c r="O916" t="inlineStr">
        <is>
          <t>eng</t>
        </is>
      </c>
      <c r="P916" t="inlineStr">
        <is>
          <t>nyu</t>
        </is>
      </c>
      <c r="Q916" t="inlineStr">
        <is>
          <t>Advances in chemical physics ; v. 130</t>
        </is>
      </c>
      <c r="R916" t="inlineStr">
        <is>
          <t xml:space="preserve">QD </t>
        </is>
      </c>
      <c r="S916" t="n">
        <v>1</v>
      </c>
      <c r="T916" t="n">
        <v>2</v>
      </c>
      <c r="U916" t="inlineStr">
        <is>
          <t>2005-03-21</t>
        </is>
      </c>
      <c r="V916" t="inlineStr">
        <is>
          <t>2005-03-21</t>
        </is>
      </c>
      <c r="W916" t="inlineStr">
        <is>
          <t>2005-03-21</t>
        </is>
      </c>
      <c r="X916" t="inlineStr">
        <is>
          <t>2005-03-21</t>
        </is>
      </c>
      <c r="Y916" t="n">
        <v>124</v>
      </c>
      <c r="Z916" t="n">
        <v>95</v>
      </c>
      <c r="AA916" t="n">
        <v>132</v>
      </c>
      <c r="AB916" t="n">
        <v>1</v>
      </c>
      <c r="AC916" t="n">
        <v>1</v>
      </c>
      <c r="AD916" t="n">
        <v>4</v>
      </c>
      <c r="AE916" t="n">
        <v>5</v>
      </c>
      <c r="AF916" t="n">
        <v>0</v>
      </c>
      <c r="AG916" t="n">
        <v>1</v>
      </c>
      <c r="AH916" t="n">
        <v>1</v>
      </c>
      <c r="AI916" t="n">
        <v>1</v>
      </c>
      <c r="AJ916" t="n">
        <v>4</v>
      </c>
      <c r="AK916" t="n">
        <v>5</v>
      </c>
      <c r="AL916" t="n">
        <v>0</v>
      </c>
      <c r="AM916" t="n">
        <v>0</v>
      </c>
      <c r="AN916" t="n">
        <v>0</v>
      </c>
      <c r="AO916" t="n">
        <v>0</v>
      </c>
      <c r="AP916" t="inlineStr">
        <is>
          <t>No</t>
        </is>
      </c>
      <c r="AQ916" t="inlineStr">
        <is>
          <t>Yes</t>
        </is>
      </c>
      <c r="AR916">
        <f>HYPERLINK("http://catalog.hathitrust.org/Record/005042130","HathiTrust Record")</f>
        <v/>
      </c>
      <c r="AS916">
        <f>HYPERLINK("https://creighton-primo.hosted.exlibrisgroup.com/primo-explore/search?tab=default_tab&amp;search_scope=EVERYTHING&amp;vid=01CRU&amp;lang=en_US&amp;offset=0&amp;query=any,contains,991004500959702656","Catalog Record")</f>
        <v/>
      </c>
      <c r="AT916">
        <f>HYPERLINK("http://www.worldcat.org/oclc/57584588","WorldCat Record")</f>
        <v/>
      </c>
      <c r="AU916" t="inlineStr">
        <is>
          <t>47126548:eng</t>
        </is>
      </c>
      <c r="AV916" t="inlineStr">
        <is>
          <t>57584588</t>
        </is>
      </c>
      <c r="AW916" t="inlineStr">
        <is>
          <t>991004500959702656</t>
        </is>
      </c>
      <c r="AX916" t="inlineStr">
        <is>
          <t>991004500959702656</t>
        </is>
      </c>
      <c r="AY916" t="inlineStr">
        <is>
          <t>2269855450002656</t>
        </is>
      </c>
      <c r="AZ916" t="inlineStr">
        <is>
          <t>BOOK</t>
        </is>
      </c>
      <c r="BB916" t="inlineStr">
        <is>
          <t>9780471705277</t>
        </is>
      </c>
      <c r="BC916" t="inlineStr">
        <is>
          <t>32285005043301</t>
        </is>
      </c>
      <c r="BD916" t="inlineStr">
        <is>
          <t>893411621</t>
        </is>
      </c>
    </row>
    <row r="917">
      <c r="A917" t="inlineStr">
        <is>
          <t>No</t>
        </is>
      </c>
      <c r="B917" t="inlineStr">
        <is>
          <t>QD453 .A27 v. 130</t>
        </is>
      </c>
      <c r="C917" t="inlineStr">
        <is>
          <t>0                      QD 0453000A  27                                                      v. 130</t>
        </is>
      </c>
      <c r="D917" t="inlineStr">
        <is>
          <t>Geometric structures of phase space in multi-dimensional chaos : Applications to chemical reaction dynamics in complex systems / edited by Mikito Toda ... [et al.].</t>
        </is>
      </c>
      <c r="E917" t="inlineStr">
        <is>
          <t>V. 130 PT. A</t>
        </is>
      </c>
      <c r="F917" t="inlineStr">
        <is>
          <t>Yes</t>
        </is>
      </c>
      <c r="G917" t="inlineStr">
        <is>
          <t>1</t>
        </is>
      </c>
      <c r="H917" t="inlineStr">
        <is>
          <t>No</t>
        </is>
      </c>
      <c r="I917" t="inlineStr">
        <is>
          <t>No</t>
        </is>
      </c>
      <c r="J917" t="inlineStr">
        <is>
          <t>0</t>
        </is>
      </c>
      <c r="L917" t="inlineStr">
        <is>
          <t>New York ; Chichester : Wiley, 2005.</t>
        </is>
      </c>
      <c r="M917" t="inlineStr">
        <is>
          <t>2005</t>
        </is>
      </c>
      <c r="O917" t="inlineStr">
        <is>
          <t>eng</t>
        </is>
      </c>
      <c r="P917" t="inlineStr">
        <is>
          <t>nyu</t>
        </is>
      </c>
      <c r="Q917" t="inlineStr">
        <is>
          <t>Advances in chemical physics ; v. 130</t>
        </is>
      </c>
      <c r="R917" t="inlineStr">
        <is>
          <t xml:space="preserve">QD </t>
        </is>
      </c>
      <c r="S917" t="n">
        <v>1</v>
      </c>
      <c r="T917" t="n">
        <v>2</v>
      </c>
      <c r="U917" t="inlineStr">
        <is>
          <t>2005-03-21</t>
        </is>
      </c>
      <c r="V917" t="inlineStr">
        <is>
          <t>2005-03-21</t>
        </is>
      </c>
      <c r="W917" t="inlineStr">
        <is>
          <t>2005-03-21</t>
        </is>
      </c>
      <c r="X917" t="inlineStr">
        <is>
          <t>2005-03-21</t>
        </is>
      </c>
      <c r="Y917" t="n">
        <v>124</v>
      </c>
      <c r="Z917" t="n">
        <v>95</v>
      </c>
      <c r="AA917" t="n">
        <v>132</v>
      </c>
      <c r="AB917" t="n">
        <v>1</v>
      </c>
      <c r="AC917" t="n">
        <v>1</v>
      </c>
      <c r="AD917" t="n">
        <v>4</v>
      </c>
      <c r="AE917" t="n">
        <v>5</v>
      </c>
      <c r="AF917" t="n">
        <v>0</v>
      </c>
      <c r="AG917" t="n">
        <v>1</v>
      </c>
      <c r="AH917" t="n">
        <v>1</v>
      </c>
      <c r="AI917" t="n">
        <v>1</v>
      </c>
      <c r="AJ917" t="n">
        <v>4</v>
      </c>
      <c r="AK917" t="n">
        <v>5</v>
      </c>
      <c r="AL917" t="n">
        <v>0</v>
      </c>
      <c r="AM917" t="n">
        <v>0</v>
      </c>
      <c r="AN917" t="n">
        <v>0</v>
      </c>
      <c r="AO917" t="n">
        <v>0</v>
      </c>
      <c r="AP917" t="inlineStr">
        <is>
          <t>No</t>
        </is>
      </c>
      <c r="AQ917" t="inlineStr">
        <is>
          <t>Yes</t>
        </is>
      </c>
      <c r="AR917">
        <f>HYPERLINK("http://catalog.hathitrust.org/Record/005042130","HathiTrust Record")</f>
        <v/>
      </c>
      <c r="AS917">
        <f>HYPERLINK("https://creighton-primo.hosted.exlibrisgroup.com/primo-explore/search?tab=default_tab&amp;search_scope=EVERYTHING&amp;vid=01CRU&amp;lang=en_US&amp;offset=0&amp;query=any,contains,991004500959702656","Catalog Record")</f>
        <v/>
      </c>
      <c r="AT917">
        <f>HYPERLINK("http://www.worldcat.org/oclc/57584588","WorldCat Record")</f>
        <v/>
      </c>
      <c r="AU917" t="inlineStr">
        <is>
          <t>47126548:eng</t>
        </is>
      </c>
      <c r="AV917" t="inlineStr">
        <is>
          <t>57584588</t>
        </is>
      </c>
      <c r="AW917" t="inlineStr">
        <is>
          <t>991004500959702656</t>
        </is>
      </c>
      <c r="AX917" t="inlineStr">
        <is>
          <t>991004500959702656</t>
        </is>
      </c>
      <c r="AY917" t="inlineStr">
        <is>
          <t>2269855450002656</t>
        </is>
      </c>
      <c r="AZ917" t="inlineStr">
        <is>
          <t>BOOK</t>
        </is>
      </c>
      <c r="BB917" t="inlineStr">
        <is>
          <t>9780471705277</t>
        </is>
      </c>
      <c r="BC917" t="inlineStr">
        <is>
          <t>32285005043293</t>
        </is>
      </c>
      <c r="BD917" t="inlineStr">
        <is>
          <t>893417697</t>
        </is>
      </c>
    </row>
    <row r="918">
      <c r="A918" t="inlineStr">
        <is>
          <t>No</t>
        </is>
      </c>
      <c r="B918" t="inlineStr">
        <is>
          <t>QD453 .A27 v. 134</t>
        </is>
      </c>
      <c r="C918" t="inlineStr">
        <is>
          <t>0                      QD 0453000A  27                                                      v. 134</t>
        </is>
      </c>
      <c r="D918" t="inlineStr">
        <is>
          <t>Reduced-density-matrix mechanics : with application to many-electron atoms and molecules / edited by David A. Mazziotti.</t>
        </is>
      </c>
      <c r="E918" t="inlineStr">
        <is>
          <t>V. 134</t>
        </is>
      </c>
      <c r="F918" t="inlineStr">
        <is>
          <t>No</t>
        </is>
      </c>
      <c r="G918" t="inlineStr">
        <is>
          <t>1</t>
        </is>
      </c>
      <c r="H918" t="inlineStr">
        <is>
          <t>No</t>
        </is>
      </c>
      <c r="I918" t="inlineStr">
        <is>
          <t>No</t>
        </is>
      </c>
      <c r="J918" t="inlineStr">
        <is>
          <t>0</t>
        </is>
      </c>
      <c r="L918" t="inlineStr">
        <is>
          <t>Hoboken, N.J. : Wiley, c2007.</t>
        </is>
      </c>
      <c r="M918" t="inlineStr">
        <is>
          <t>2007</t>
        </is>
      </c>
      <c r="O918" t="inlineStr">
        <is>
          <t>eng</t>
        </is>
      </c>
      <c r="P918" t="inlineStr">
        <is>
          <t>nju</t>
        </is>
      </c>
      <c r="Q918" t="inlineStr">
        <is>
          <t>Advances in chemical physics, 0065-2385 ; v. 134</t>
        </is>
      </c>
      <c r="R918" t="inlineStr">
        <is>
          <t xml:space="preserve">QD </t>
        </is>
      </c>
      <c r="S918" t="n">
        <v>1</v>
      </c>
      <c r="T918" t="n">
        <v>1</v>
      </c>
      <c r="U918" t="inlineStr">
        <is>
          <t>2007-05-10</t>
        </is>
      </c>
      <c r="V918" t="inlineStr">
        <is>
          <t>2007-05-10</t>
        </is>
      </c>
      <c r="W918" t="inlineStr">
        <is>
          <t>2007-05-10</t>
        </is>
      </c>
      <c r="X918" t="inlineStr">
        <is>
          <t>2007-05-10</t>
        </is>
      </c>
      <c r="Y918" t="n">
        <v>143</v>
      </c>
      <c r="Z918" t="n">
        <v>94</v>
      </c>
      <c r="AA918" t="n">
        <v>165</v>
      </c>
      <c r="AB918" t="n">
        <v>1</v>
      </c>
      <c r="AC918" t="n">
        <v>1</v>
      </c>
      <c r="AD918" t="n">
        <v>2</v>
      </c>
      <c r="AE918" t="n">
        <v>2</v>
      </c>
      <c r="AF918" t="n">
        <v>0</v>
      </c>
      <c r="AG918" t="n">
        <v>0</v>
      </c>
      <c r="AH918" t="n">
        <v>0</v>
      </c>
      <c r="AI918" t="n">
        <v>0</v>
      </c>
      <c r="AJ918" t="n">
        <v>2</v>
      </c>
      <c r="AK918" t="n">
        <v>2</v>
      </c>
      <c r="AL918" t="n">
        <v>0</v>
      </c>
      <c r="AM918" t="n">
        <v>0</v>
      </c>
      <c r="AN918" t="n">
        <v>0</v>
      </c>
      <c r="AO918" t="n">
        <v>0</v>
      </c>
      <c r="AP918" t="inlineStr">
        <is>
          <t>No</t>
        </is>
      </c>
      <c r="AQ918" t="inlineStr">
        <is>
          <t>Yes</t>
        </is>
      </c>
      <c r="AR918">
        <f>HYPERLINK("http://catalog.hathitrust.org/Record/005583522","HathiTrust Record")</f>
        <v/>
      </c>
      <c r="AS918">
        <f>HYPERLINK("https://creighton-primo.hosted.exlibrisgroup.com/primo-explore/search?tab=default_tab&amp;search_scope=EVERYTHING&amp;vid=01CRU&amp;lang=en_US&amp;offset=0&amp;query=any,contains,991005081539702656","Catalog Record")</f>
        <v/>
      </c>
      <c r="AT918">
        <f>HYPERLINK("http://www.worldcat.org/oclc/122341679","WorldCat Record")</f>
        <v/>
      </c>
      <c r="AU918" t="inlineStr">
        <is>
          <t>800782896:eng</t>
        </is>
      </c>
      <c r="AV918" t="inlineStr">
        <is>
          <t>122341679</t>
        </is>
      </c>
      <c r="AW918" t="inlineStr">
        <is>
          <t>991005081539702656</t>
        </is>
      </c>
      <c r="AX918" t="inlineStr">
        <is>
          <t>991005081539702656</t>
        </is>
      </c>
      <c r="AY918" t="inlineStr">
        <is>
          <t>2270479370002656</t>
        </is>
      </c>
      <c r="AZ918" t="inlineStr">
        <is>
          <t>BOOK</t>
        </is>
      </c>
      <c r="BB918" t="inlineStr">
        <is>
          <t>9780471790563</t>
        </is>
      </c>
      <c r="BC918" t="inlineStr">
        <is>
          <t>32285005311765</t>
        </is>
      </c>
      <c r="BD918" t="inlineStr">
        <is>
          <t>893437115</t>
        </is>
      </c>
    </row>
    <row r="919">
      <c r="A919" t="inlineStr">
        <is>
          <t>No</t>
        </is>
      </c>
      <c r="B919" t="inlineStr">
        <is>
          <t>QD453 .A27 v. 135</t>
        </is>
      </c>
      <c r="C919" t="inlineStr">
        <is>
          <t>0                      QD 0453000A  27                                                      v. 135</t>
        </is>
      </c>
      <c r="D919" t="inlineStr">
        <is>
          <t>Special volume in memory of Ilya Prigogine / edited by Stuart A. Rice.</t>
        </is>
      </c>
      <c r="E919" t="inlineStr">
        <is>
          <t>V. 135</t>
        </is>
      </c>
      <c r="F919" t="inlineStr">
        <is>
          <t>No</t>
        </is>
      </c>
      <c r="G919" t="inlineStr">
        <is>
          <t>1</t>
        </is>
      </c>
      <c r="H919" t="inlineStr">
        <is>
          <t>No</t>
        </is>
      </c>
      <c r="I919" t="inlineStr">
        <is>
          <t>No</t>
        </is>
      </c>
      <c r="J919" t="inlineStr">
        <is>
          <t>0</t>
        </is>
      </c>
      <c r="L919" t="inlineStr">
        <is>
          <t>Hoboken, N.J. : Wiley, c2007.</t>
        </is>
      </c>
      <c r="M919" t="inlineStr">
        <is>
          <t>2007</t>
        </is>
      </c>
      <c r="O919" t="inlineStr">
        <is>
          <t>eng</t>
        </is>
      </c>
      <c r="P919" t="inlineStr">
        <is>
          <t>nju</t>
        </is>
      </c>
      <c r="Q919" t="inlineStr">
        <is>
          <t>Advances in chemical physics ; v. 135</t>
        </is>
      </c>
      <c r="R919" t="inlineStr">
        <is>
          <t xml:space="preserve">QD </t>
        </is>
      </c>
      <c r="S919" t="n">
        <v>1</v>
      </c>
      <c r="T919" t="n">
        <v>1</v>
      </c>
      <c r="U919" t="inlineStr">
        <is>
          <t>2007-05-10</t>
        </is>
      </c>
      <c r="V919" t="inlineStr">
        <is>
          <t>2007-05-10</t>
        </is>
      </c>
      <c r="W919" t="inlineStr">
        <is>
          <t>2007-05-10</t>
        </is>
      </c>
      <c r="X919" t="inlineStr">
        <is>
          <t>2007-05-10</t>
        </is>
      </c>
      <c r="Y919" t="n">
        <v>126</v>
      </c>
      <c r="Z919" t="n">
        <v>84</v>
      </c>
      <c r="AA919" t="n">
        <v>158</v>
      </c>
      <c r="AB919" t="n">
        <v>1</v>
      </c>
      <c r="AC919" t="n">
        <v>1</v>
      </c>
      <c r="AD919" t="n">
        <v>2</v>
      </c>
      <c r="AE919" t="n">
        <v>2</v>
      </c>
      <c r="AF919" t="n">
        <v>0</v>
      </c>
      <c r="AG919" t="n">
        <v>0</v>
      </c>
      <c r="AH919" t="n">
        <v>0</v>
      </c>
      <c r="AI919" t="n">
        <v>0</v>
      </c>
      <c r="AJ919" t="n">
        <v>2</v>
      </c>
      <c r="AK919" t="n">
        <v>2</v>
      </c>
      <c r="AL919" t="n">
        <v>0</v>
      </c>
      <c r="AM919" t="n">
        <v>0</v>
      </c>
      <c r="AN919" t="n">
        <v>0</v>
      </c>
      <c r="AO919" t="n">
        <v>0</v>
      </c>
      <c r="AP919" t="inlineStr">
        <is>
          <t>No</t>
        </is>
      </c>
      <c r="AQ919" t="inlineStr">
        <is>
          <t>Yes</t>
        </is>
      </c>
      <c r="AR919">
        <f>HYPERLINK("http://catalog.hathitrust.org/Record/005583520","HathiTrust Record")</f>
        <v/>
      </c>
      <c r="AS919">
        <f>HYPERLINK("https://creighton-primo.hosted.exlibrisgroup.com/primo-explore/search?tab=default_tab&amp;search_scope=EVERYTHING&amp;vid=01CRU&amp;lang=en_US&amp;offset=0&amp;query=any,contains,991005081559702656","Catalog Record")</f>
        <v/>
      </c>
      <c r="AT919">
        <f>HYPERLINK("http://www.worldcat.org/oclc/86115338","WorldCat Record")</f>
        <v/>
      </c>
      <c r="AU919" t="inlineStr">
        <is>
          <t>69953332:eng</t>
        </is>
      </c>
      <c r="AV919" t="inlineStr">
        <is>
          <t>86115338</t>
        </is>
      </c>
      <c r="AW919" t="inlineStr">
        <is>
          <t>991005081559702656</t>
        </is>
      </c>
      <c r="AX919" t="inlineStr">
        <is>
          <t>991005081559702656</t>
        </is>
      </c>
      <c r="AY919" t="inlineStr">
        <is>
          <t>2258753350002656</t>
        </is>
      </c>
      <c r="AZ919" t="inlineStr">
        <is>
          <t>BOOK</t>
        </is>
      </c>
      <c r="BB919" t="inlineStr">
        <is>
          <t>9780471682332</t>
        </is>
      </c>
      <c r="BC919" t="inlineStr">
        <is>
          <t>32285005311773</t>
        </is>
      </c>
      <c r="BD919" t="inlineStr">
        <is>
          <t>893719739</t>
        </is>
      </c>
    </row>
    <row r="920">
      <c r="A920" t="inlineStr">
        <is>
          <t>No</t>
        </is>
      </c>
      <c r="B920" t="inlineStr">
        <is>
          <t>QD453 .A27 v.106-107</t>
        </is>
      </c>
      <c r="C920" t="inlineStr">
        <is>
          <t>0                      QD 0453000A  27                                                      v.106-107</t>
        </is>
      </c>
      <c r="D920" t="inlineStr">
        <is>
          <t>Electron transfer- from isolated molecules to biomolecules / edited by Joshua Jortner and M. Bixon ; series editors, I. Prigogine, Stuart A. Rice.</t>
        </is>
      </c>
      <c r="E920" t="inlineStr">
        <is>
          <t>V. 107</t>
        </is>
      </c>
      <c r="F920" t="inlineStr">
        <is>
          <t>Yes</t>
        </is>
      </c>
      <c r="G920" t="inlineStr">
        <is>
          <t>1</t>
        </is>
      </c>
      <c r="H920" t="inlineStr">
        <is>
          <t>No</t>
        </is>
      </c>
      <c r="I920" t="inlineStr">
        <is>
          <t>No</t>
        </is>
      </c>
      <c r="J920" t="inlineStr">
        <is>
          <t>0</t>
        </is>
      </c>
      <c r="L920" t="inlineStr">
        <is>
          <t>New York : J. Wiley, c1999.</t>
        </is>
      </c>
      <c r="M920" t="inlineStr">
        <is>
          <t>1999</t>
        </is>
      </c>
      <c r="O920" t="inlineStr">
        <is>
          <t>eng</t>
        </is>
      </c>
      <c r="P920" t="inlineStr">
        <is>
          <t>nyu</t>
        </is>
      </c>
      <c r="Q920" t="inlineStr">
        <is>
          <t>Advances in chemical physics ; v. 106-107</t>
        </is>
      </c>
      <c r="R920" t="inlineStr">
        <is>
          <t xml:space="preserve">QD </t>
        </is>
      </c>
      <c r="S920" t="n">
        <v>4</v>
      </c>
      <c r="T920" t="n">
        <v>8</v>
      </c>
      <c r="U920" t="inlineStr">
        <is>
          <t>2001-02-14</t>
        </is>
      </c>
      <c r="V920" t="inlineStr">
        <is>
          <t>2001-02-14</t>
        </is>
      </c>
      <c r="W920" t="inlineStr">
        <is>
          <t>1999-03-17</t>
        </is>
      </c>
      <c r="X920" t="inlineStr">
        <is>
          <t>1999-03-17</t>
        </is>
      </c>
      <c r="Y920" t="n">
        <v>148</v>
      </c>
      <c r="Z920" t="n">
        <v>112</v>
      </c>
      <c r="AA920" t="n">
        <v>164</v>
      </c>
      <c r="AB920" t="n">
        <v>1</v>
      </c>
      <c r="AC920" t="n">
        <v>1</v>
      </c>
      <c r="AD920" t="n">
        <v>5</v>
      </c>
      <c r="AE920" t="n">
        <v>5</v>
      </c>
      <c r="AF920" t="n">
        <v>1</v>
      </c>
      <c r="AG920" t="n">
        <v>1</v>
      </c>
      <c r="AH920" t="n">
        <v>0</v>
      </c>
      <c r="AI920" t="n">
        <v>0</v>
      </c>
      <c r="AJ920" t="n">
        <v>5</v>
      </c>
      <c r="AK920" t="n">
        <v>5</v>
      </c>
      <c r="AL920" t="n">
        <v>0</v>
      </c>
      <c r="AM920" t="n">
        <v>0</v>
      </c>
      <c r="AN920" t="n">
        <v>0</v>
      </c>
      <c r="AO920" t="n">
        <v>0</v>
      </c>
      <c r="AP920" t="inlineStr">
        <is>
          <t>No</t>
        </is>
      </c>
      <c r="AQ920" t="inlineStr">
        <is>
          <t>Yes</t>
        </is>
      </c>
      <c r="AR920">
        <f>HYPERLINK("http://catalog.hathitrust.org/Record/003348173","HathiTrust Record")</f>
        <v/>
      </c>
      <c r="AS920">
        <f>HYPERLINK("https://creighton-primo.hosted.exlibrisgroup.com/primo-explore/search?tab=default_tab&amp;search_scope=EVERYTHING&amp;vid=01CRU&amp;lang=en_US&amp;offset=0&amp;query=any,contains,991005430099702656","Catalog Record")</f>
        <v/>
      </c>
      <c r="AT920">
        <f>HYPERLINK("http://www.worldcat.org/oclc/40832871","WorldCat Record")</f>
        <v/>
      </c>
      <c r="AU920" t="inlineStr">
        <is>
          <t>3373488386:eng</t>
        </is>
      </c>
      <c r="AV920" t="inlineStr">
        <is>
          <t>40832871</t>
        </is>
      </c>
      <c r="AW920" t="inlineStr">
        <is>
          <t>991005430099702656</t>
        </is>
      </c>
      <c r="AX920" t="inlineStr">
        <is>
          <t>991005430099702656</t>
        </is>
      </c>
      <c r="AY920" t="inlineStr">
        <is>
          <t>2259445900002656</t>
        </is>
      </c>
      <c r="AZ920" t="inlineStr">
        <is>
          <t>BOOK</t>
        </is>
      </c>
      <c r="BB920" t="inlineStr">
        <is>
          <t>9780471252917</t>
        </is>
      </c>
      <c r="BC920" t="inlineStr">
        <is>
          <t>32285003533931</t>
        </is>
      </c>
      <c r="BD920" t="inlineStr">
        <is>
          <t>893527614</t>
        </is>
      </c>
    </row>
    <row r="921">
      <c r="A921" t="inlineStr">
        <is>
          <t>No</t>
        </is>
      </c>
      <c r="B921" t="inlineStr">
        <is>
          <t>QD453 .A27 v.106-107</t>
        </is>
      </c>
      <c r="C921" t="inlineStr">
        <is>
          <t>0                      QD 0453000A  27                                                      v.106-107</t>
        </is>
      </c>
      <c r="D921" t="inlineStr">
        <is>
          <t>Electron transfer- from isolated molecules to biomolecules / edited by Joshua Jortner and M. Bixon ; series editors, I. Prigogine, Stuart A. Rice.</t>
        </is>
      </c>
      <c r="E921" t="inlineStr">
        <is>
          <t>V. 106</t>
        </is>
      </c>
      <c r="F921" t="inlineStr">
        <is>
          <t>Yes</t>
        </is>
      </c>
      <c r="G921" t="inlineStr">
        <is>
          <t>1</t>
        </is>
      </c>
      <c r="H921" t="inlineStr">
        <is>
          <t>No</t>
        </is>
      </c>
      <c r="I921" t="inlineStr">
        <is>
          <t>No</t>
        </is>
      </c>
      <c r="J921" t="inlineStr">
        <is>
          <t>0</t>
        </is>
      </c>
      <c r="L921" t="inlineStr">
        <is>
          <t>New York : J. Wiley, c1999.</t>
        </is>
      </c>
      <c r="M921" t="inlineStr">
        <is>
          <t>1999</t>
        </is>
      </c>
      <c r="O921" t="inlineStr">
        <is>
          <t>eng</t>
        </is>
      </c>
      <c r="P921" t="inlineStr">
        <is>
          <t>nyu</t>
        </is>
      </c>
      <c r="Q921" t="inlineStr">
        <is>
          <t>Advances in chemical physics ; v. 106-107</t>
        </is>
      </c>
      <c r="R921" t="inlineStr">
        <is>
          <t xml:space="preserve">QD </t>
        </is>
      </c>
      <c r="S921" t="n">
        <v>4</v>
      </c>
      <c r="T921" t="n">
        <v>8</v>
      </c>
      <c r="U921" t="inlineStr">
        <is>
          <t>2001-02-14</t>
        </is>
      </c>
      <c r="V921" t="inlineStr">
        <is>
          <t>2001-02-14</t>
        </is>
      </c>
      <c r="W921" t="inlineStr">
        <is>
          <t>1999-03-17</t>
        </is>
      </c>
      <c r="X921" t="inlineStr">
        <is>
          <t>1999-03-17</t>
        </is>
      </c>
      <c r="Y921" t="n">
        <v>148</v>
      </c>
      <c r="Z921" t="n">
        <v>112</v>
      </c>
      <c r="AA921" t="n">
        <v>164</v>
      </c>
      <c r="AB921" t="n">
        <v>1</v>
      </c>
      <c r="AC921" t="n">
        <v>1</v>
      </c>
      <c r="AD921" t="n">
        <v>5</v>
      </c>
      <c r="AE921" t="n">
        <v>5</v>
      </c>
      <c r="AF921" t="n">
        <v>1</v>
      </c>
      <c r="AG921" t="n">
        <v>1</v>
      </c>
      <c r="AH921" t="n">
        <v>0</v>
      </c>
      <c r="AI921" t="n">
        <v>0</v>
      </c>
      <c r="AJ921" t="n">
        <v>5</v>
      </c>
      <c r="AK921" t="n">
        <v>5</v>
      </c>
      <c r="AL921" t="n">
        <v>0</v>
      </c>
      <c r="AM921" t="n">
        <v>0</v>
      </c>
      <c r="AN921" t="n">
        <v>0</v>
      </c>
      <c r="AO921" t="n">
        <v>0</v>
      </c>
      <c r="AP921" t="inlineStr">
        <is>
          <t>No</t>
        </is>
      </c>
      <c r="AQ921" t="inlineStr">
        <is>
          <t>Yes</t>
        </is>
      </c>
      <c r="AR921">
        <f>HYPERLINK("http://catalog.hathitrust.org/Record/003348173","HathiTrust Record")</f>
        <v/>
      </c>
      <c r="AS921">
        <f>HYPERLINK("https://creighton-primo.hosted.exlibrisgroup.com/primo-explore/search?tab=default_tab&amp;search_scope=EVERYTHING&amp;vid=01CRU&amp;lang=en_US&amp;offset=0&amp;query=any,contains,991005430099702656","Catalog Record")</f>
        <v/>
      </c>
      <c r="AT921">
        <f>HYPERLINK("http://www.worldcat.org/oclc/40832871","WorldCat Record")</f>
        <v/>
      </c>
      <c r="AU921" t="inlineStr">
        <is>
          <t>3373488386:eng</t>
        </is>
      </c>
      <c r="AV921" t="inlineStr">
        <is>
          <t>40832871</t>
        </is>
      </c>
      <c r="AW921" t="inlineStr">
        <is>
          <t>991005430099702656</t>
        </is>
      </c>
      <c r="AX921" t="inlineStr">
        <is>
          <t>991005430099702656</t>
        </is>
      </c>
      <c r="AY921" t="inlineStr">
        <is>
          <t>2259445900002656</t>
        </is>
      </c>
      <c r="AZ921" t="inlineStr">
        <is>
          <t>BOOK</t>
        </is>
      </c>
      <c r="BB921" t="inlineStr">
        <is>
          <t>9780471252917</t>
        </is>
      </c>
      <c r="BC921" t="inlineStr">
        <is>
          <t>32285003533923</t>
        </is>
      </c>
      <c r="BD921" t="inlineStr">
        <is>
          <t>893521189</t>
        </is>
      </c>
    </row>
    <row r="922">
      <c r="A922" t="inlineStr">
        <is>
          <t>No</t>
        </is>
      </c>
      <c r="B922" t="inlineStr">
        <is>
          <t>QD453 .A27 v.113</t>
        </is>
      </c>
      <c r="C922" t="inlineStr">
        <is>
          <t>0                      QD 0453000A  27                                                      v.113</t>
        </is>
      </c>
      <c r="D922" t="inlineStr">
        <is>
          <t>Advances in liquid crystals : a special volume of Advances in chemical physics / edited by Jagdish K. Vij.</t>
        </is>
      </c>
      <c r="E922" t="inlineStr">
        <is>
          <t>V. 113</t>
        </is>
      </c>
      <c r="F922" t="inlineStr">
        <is>
          <t>No</t>
        </is>
      </c>
      <c r="G922" t="inlineStr">
        <is>
          <t>1</t>
        </is>
      </c>
      <c r="H922" t="inlineStr">
        <is>
          <t>No</t>
        </is>
      </c>
      <c r="I922" t="inlineStr">
        <is>
          <t>No</t>
        </is>
      </c>
      <c r="J922" t="inlineStr">
        <is>
          <t>0</t>
        </is>
      </c>
      <c r="L922" t="inlineStr">
        <is>
          <t>New York : Wiley, 2000.</t>
        </is>
      </c>
      <c r="M922" t="inlineStr">
        <is>
          <t>2000</t>
        </is>
      </c>
      <c r="O922" t="inlineStr">
        <is>
          <t>eng</t>
        </is>
      </c>
      <c r="P922" t="inlineStr">
        <is>
          <t>nyu</t>
        </is>
      </c>
      <c r="R922" t="inlineStr">
        <is>
          <t xml:space="preserve">QD </t>
        </is>
      </c>
      <c r="S922" t="n">
        <v>3</v>
      </c>
      <c r="T922" t="n">
        <v>3</v>
      </c>
      <c r="U922" t="inlineStr">
        <is>
          <t>2000-08-24</t>
        </is>
      </c>
      <c r="V922" t="inlineStr">
        <is>
          <t>2000-08-24</t>
        </is>
      </c>
      <c r="W922" t="inlineStr">
        <is>
          <t>2000-08-23</t>
        </is>
      </c>
      <c r="X922" t="inlineStr">
        <is>
          <t>2000-08-23</t>
        </is>
      </c>
      <c r="Y922" t="n">
        <v>147</v>
      </c>
      <c r="Z922" t="n">
        <v>105</v>
      </c>
      <c r="AA922" t="n">
        <v>169</v>
      </c>
      <c r="AB922" t="n">
        <v>1</v>
      </c>
      <c r="AC922" t="n">
        <v>1</v>
      </c>
      <c r="AD922" t="n">
        <v>6</v>
      </c>
      <c r="AE922" t="n">
        <v>6</v>
      </c>
      <c r="AF922" t="n">
        <v>1</v>
      </c>
      <c r="AG922" t="n">
        <v>1</v>
      </c>
      <c r="AH922" t="n">
        <v>0</v>
      </c>
      <c r="AI922" t="n">
        <v>0</v>
      </c>
      <c r="AJ922" t="n">
        <v>6</v>
      </c>
      <c r="AK922" t="n">
        <v>6</v>
      </c>
      <c r="AL922" t="n">
        <v>0</v>
      </c>
      <c r="AM922" t="n">
        <v>0</v>
      </c>
      <c r="AN922" t="n">
        <v>0</v>
      </c>
      <c r="AO922" t="n">
        <v>0</v>
      </c>
      <c r="AP922" t="inlineStr">
        <is>
          <t>No</t>
        </is>
      </c>
      <c r="AQ922" t="inlineStr">
        <is>
          <t>Yes</t>
        </is>
      </c>
      <c r="AR922">
        <f>HYPERLINK("http://catalog.hathitrust.org/Record/003500417","HathiTrust Record")</f>
        <v/>
      </c>
      <c r="AS922">
        <f>HYPERLINK("https://creighton-primo.hosted.exlibrisgroup.com/primo-explore/search?tab=default_tab&amp;search_scope=EVERYTHING&amp;vid=01CRU&amp;lang=en_US&amp;offset=0&amp;query=any,contains,991003266219702656","Catalog Record")</f>
        <v/>
      </c>
      <c r="AT922">
        <f>HYPERLINK("http://www.worldcat.org/oclc/42649710","WorldCat Record")</f>
        <v/>
      </c>
      <c r="AU922" t="inlineStr">
        <is>
          <t>766786494:eng</t>
        </is>
      </c>
      <c r="AV922" t="inlineStr">
        <is>
          <t>42649710</t>
        </is>
      </c>
      <c r="AW922" t="inlineStr">
        <is>
          <t>991003266219702656</t>
        </is>
      </c>
      <c r="AX922" t="inlineStr">
        <is>
          <t>991003266219702656</t>
        </is>
      </c>
      <c r="AY922" t="inlineStr">
        <is>
          <t>2263360930002656</t>
        </is>
      </c>
      <c r="AZ922" t="inlineStr">
        <is>
          <t>BOOK</t>
        </is>
      </c>
      <c r="BB922" t="inlineStr">
        <is>
          <t>9780471180838</t>
        </is>
      </c>
      <c r="BC922" t="inlineStr">
        <is>
          <t>32285003758967</t>
        </is>
      </c>
      <c r="BD922" t="inlineStr">
        <is>
          <t>893499126</t>
        </is>
      </c>
    </row>
    <row r="923">
      <c r="A923" t="inlineStr">
        <is>
          <t>No</t>
        </is>
      </c>
      <c r="B923" t="inlineStr">
        <is>
          <t>QD453 .A27 v.12</t>
        </is>
      </c>
      <c r="C923" t="inlineStr">
        <is>
          <t>0                      QD 0453000A  27                                                      v.12</t>
        </is>
      </c>
      <c r="D923" t="inlineStr">
        <is>
          <t>Intermolecular forces / edited by Joseph O. Hirshchfelder.</t>
        </is>
      </c>
      <c r="E923" t="inlineStr">
        <is>
          <t>V. 12</t>
        </is>
      </c>
      <c r="F923" t="inlineStr">
        <is>
          <t>No</t>
        </is>
      </c>
      <c r="G923" t="inlineStr">
        <is>
          <t>2</t>
        </is>
      </c>
      <c r="H923" t="inlineStr">
        <is>
          <t>Yes</t>
        </is>
      </c>
      <c r="I923" t="inlineStr">
        <is>
          <t>No</t>
        </is>
      </c>
      <c r="J923" t="inlineStr">
        <is>
          <t>0</t>
        </is>
      </c>
      <c r="L923" t="inlineStr">
        <is>
          <t>New York : Interscience Publishers, c1967.</t>
        </is>
      </c>
      <c r="M923" t="inlineStr">
        <is>
          <t>1967</t>
        </is>
      </c>
      <c r="O923" t="inlineStr">
        <is>
          <t>eng</t>
        </is>
      </c>
      <c r="P923" t="inlineStr">
        <is>
          <t>nyu</t>
        </is>
      </c>
      <c r="Q923" t="inlineStr">
        <is>
          <t>Advances in chemical physics ; v. 12</t>
        </is>
      </c>
      <c r="R923" t="inlineStr">
        <is>
          <t xml:space="preserve">QD </t>
        </is>
      </c>
      <c r="S923" t="n">
        <v>2</v>
      </c>
      <c r="T923" t="n">
        <v>3</v>
      </c>
      <c r="U923" t="inlineStr">
        <is>
          <t>1998-07-30</t>
        </is>
      </c>
      <c r="V923" t="inlineStr">
        <is>
          <t>1998-07-30</t>
        </is>
      </c>
      <c r="W923" t="inlineStr">
        <is>
          <t>1991-09-11</t>
        </is>
      </c>
      <c r="X923" t="inlineStr">
        <is>
          <t>1991-09-11</t>
        </is>
      </c>
      <c r="Y923" t="n">
        <v>200</v>
      </c>
      <c r="Z923" t="n">
        <v>150</v>
      </c>
      <c r="AA923" t="n">
        <v>173</v>
      </c>
      <c r="AB923" t="n">
        <v>1</v>
      </c>
      <c r="AC923" t="n">
        <v>1</v>
      </c>
      <c r="AD923" t="n">
        <v>12</v>
      </c>
      <c r="AE923" t="n">
        <v>12</v>
      </c>
      <c r="AF923" t="n">
        <v>4</v>
      </c>
      <c r="AG923" t="n">
        <v>4</v>
      </c>
      <c r="AH923" t="n">
        <v>3</v>
      </c>
      <c r="AI923" t="n">
        <v>3</v>
      </c>
      <c r="AJ923" t="n">
        <v>8</v>
      </c>
      <c r="AK923" t="n">
        <v>8</v>
      </c>
      <c r="AL923" t="n">
        <v>0</v>
      </c>
      <c r="AM923" t="n">
        <v>0</v>
      </c>
      <c r="AN923" t="n">
        <v>0</v>
      </c>
      <c r="AO923" t="n">
        <v>0</v>
      </c>
      <c r="AP923" t="inlineStr">
        <is>
          <t>No</t>
        </is>
      </c>
      <c r="AQ923" t="inlineStr">
        <is>
          <t>Yes</t>
        </is>
      </c>
      <c r="AR923">
        <f>HYPERLINK("http://catalog.hathitrust.org/Record/002031254","HathiTrust Record")</f>
        <v/>
      </c>
      <c r="AS923">
        <f>HYPERLINK("https://creighton-primo.hosted.exlibrisgroup.com/primo-explore/search?tab=default_tab&amp;search_scope=EVERYTHING&amp;vid=01CRU&amp;lang=en_US&amp;offset=0&amp;query=any,contains,991005365339702656","Catalog Record")</f>
        <v/>
      </c>
      <c r="AT923">
        <f>HYPERLINK("http://www.worldcat.org/oclc/1745020","WorldCat Record")</f>
        <v/>
      </c>
      <c r="AU923" t="inlineStr">
        <is>
          <t>766779407:eng</t>
        </is>
      </c>
      <c r="AV923" t="inlineStr">
        <is>
          <t>1745020</t>
        </is>
      </c>
      <c r="AW923" t="inlineStr">
        <is>
          <t>991005365339702656</t>
        </is>
      </c>
      <c r="AX923" t="inlineStr">
        <is>
          <t>991005365339702656</t>
        </is>
      </c>
      <c r="AY923" t="inlineStr">
        <is>
          <t>2262426390002656</t>
        </is>
      </c>
      <c r="AZ923" t="inlineStr">
        <is>
          <t>BOOK</t>
        </is>
      </c>
      <c r="BC923" t="inlineStr">
        <is>
          <t>32285000646181</t>
        </is>
      </c>
      <c r="BD923" t="inlineStr">
        <is>
          <t>893877414</t>
        </is>
      </c>
    </row>
    <row r="924">
      <c r="A924" t="inlineStr">
        <is>
          <t>No</t>
        </is>
      </c>
      <c r="B924" t="inlineStr">
        <is>
          <t>QD453 .A27 v.12</t>
        </is>
      </c>
      <c r="C924" t="inlineStr">
        <is>
          <t>0                      QD 0453000A  27                                                      v.12</t>
        </is>
      </c>
      <c r="D924" t="inlineStr">
        <is>
          <t>Intermolecular forces / edited by Joseph O. Hirshchfelder.</t>
        </is>
      </c>
      <c r="E924" t="inlineStr">
        <is>
          <t>V. 12</t>
        </is>
      </c>
      <c r="F924" t="inlineStr">
        <is>
          <t>No</t>
        </is>
      </c>
      <c r="G924" t="inlineStr">
        <is>
          <t>1</t>
        </is>
      </c>
      <c r="H924" t="inlineStr">
        <is>
          <t>Yes</t>
        </is>
      </c>
      <c r="I924" t="inlineStr">
        <is>
          <t>No</t>
        </is>
      </c>
      <c r="J924" t="inlineStr">
        <is>
          <t>0</t>
        </is>
      </c>
      <c r="L924" t="inlineStr">
        <is>
          <t>New York : Interscience Publishers, c1967.</t>
        </is>
      </c>
      <c r="M924" t="inlineStr">
        <is>
          <t>1967</t>
        </is>
      </c>
      <c r="O924" t="inlineStr">
        <is>
          <t>eng</t>
        </is>
      </c>
      <c r="P924" t="inlineStr">
        <is>
          <t>nyu</t>
        </is>
      </c>
      <c r="Q924" t="inlineStr">
        <is>
          <t>Advances in chemical physics ; v. 12</t>
        </is>
      </c>
      <c r="R924" t="inlineStr">
        <is>
          <t xml:space="preserve">QD </t>
        </is>
      </c>
      <c r="S924" t="n">
        <v>1</v>
      </c>
      <c r="T924" t="n">
        <v>3</v>
      </c>
      <c r="U924" t="inlineStr">
        <is>
          <t>1998-07-30</t>
        </is>
      </c>
      <c r="V924" t="inlineStr">
        <is>
          <t>1998-07-30</t>
        </is>
      </c>
      <c r="W924" t="inlineStr">
        <is>
          <t>1991-09-11</t>
        </is>
      </c>
      <c r="X924" t="inlineStr">
        <is>
          <t>1991-09-11</t>
        </is>
      </c>
      <c r="Y924" t="n">
        <v>200</v>
      </c>
      <c r="Z924" t="n">
        <v>150</v>
      </c>
      <c r="AA924" t="n">
        <v>173</v>
      </c>
      <c r="AB924" t="n">
        <v>1</v>
      </c>
      <c r="AC924" t="n">
        <v>1</v>
      </c>
      <c r="AD924" t="n">
        <v>12</v>
      </c>
      <c r="AE924" t="n">
        <v>12</v>
      </c>
      <c r="AF924" t="n">
        <v>4</v>
      </c>
      <c r="AG924" t="n">
        <v>4</v>
      </c>
      <c r="AH924" t="n">
        <v>3</v>
      </c>
      <c r="AI924" t="n">
        <v>3</v>
      </c>
      <c r="AJ924" t="n">
        <v>8</v>
      </c>
      <c r="AK924" t="n">
        <v>8</v>
      </c>
      <c r="AL924" t="n">
        <v>0</v>
      </c>
      <c r="AM924" t="n">
        <v>0</v>
      </c>
      <c r="AN924" t="n">
        <v>0</v>
      </c>
      <c r="AO924" t="n">
        <v>0</v>
      </c>
      <c r="AP924" t="inlineStr">
        <is>
          <t>No</t>
        </is>
      </c>
      <c r="AQ924" t="inlineStr">
        <is>
          <t>Yes</t>
        </is>
      </c>
      <c r="AR924">
        <f>HYPERLINK("http://catalog.hathitrust.org/Record/002031254","HathiTrust Record")</f>
        <v/>
      </c>
      <c r="AS924">
        <f>HYPERLINK("https://creighton-primo.hosted.exlibrisgroup.com/primo-explore/search?tab=default_tab&amp;search_scope=EVERYTHING&amp;vid=01CRU&amp;lang=en_US&amp;offset=0&amp;query=any,contains,991005365339702656","Catalog Record")</f>
        <v/>
      </c>
      <c r="AT924">
        <f>HYPERLINK("http://www.worldcat.org/oclc/1745020","WorldCat Record")</f>
        <v/>
      </c>
      <c r="AU924" t="inlineStr">
        <is>
          <t>766779407:eng</t>
        </is>
      </c>
      <c r="AV924" t="inlineStr">
        <is>
          <t>1745020</t>
        </is>
      </c>
      <c r="AW924" t="inlineStr">
        <is>
          <t>991005365339702656</t>
        </is>
      </c>
      <c r="AX924" t="inlineStr">
        <is>
          <t>991005365339702656</t>
        </is>
      </c>
      <c r="AY924" t="inlineStr">
        <is>
          <t>2262426390002656</t>
        </is>
      </c>
      <c r="AZ924" t="inlineStr">
        <is>
          <t>BOOK</t>
        </is>
      </c>
      <c r="BC924" t="inlineStr">
        <is>
          <t>32285000646173</t>
        </is>
      </c>
      <c r="BD924" t="inlineStr">
        <is>
          <t>893896327</t>
        </is>
      </c>
    </row>
    <row r="925">
      <c r="A925" t="inlineStr">
        <is>
          <t>No</t>
        </is>
      </c>
      <c r="B925" t="inlineStr">
        <is>
          <t>QD453 .A27 v.133</t>
        </is>
      </c>
      <c r="C925" t="inlineStr">
        <is>
          <t>0                      QD 0453000A  27                                                      v.133</t>
        </is>
      </c>
      <c r="D925" t="inlineStr">
        <is>
          <t>Fractals, diffusion and relaxation in disordered complex systems / edited by William T. Coffey and Yuri P. Kalmykov.</t>
        </is>
      </c>
      <c r="E925" t="inlineStr">
        <is>
          <t>V. 133 PT. B</t>
        </is>
      </c>
      <c r="F925" t="inlineStr">
        <is>
          <t>Yes</t>
        </is>
      </c>
      <c r="G925" t="inlineStr">
        <is>
          <t>1</t>
        </is>
      </c>
      <c r="H925" t="inlineStr">
        <is>
          <t>No</t>
        </is>
      </c>
      <c r="I925" t="inlineStr">
        <is>
          <t>No</t>
        </is>
      </c>
      <c r="J925" t="inlineStr">
        <is>
          <t>0</t>
        </is>
      </c>
      <c r="L925" t="inlineStr">
        <is>
          <t>Hoboken, N.J. : Wiley, 2006.</t>
        </is>
      </c>
      <c r="M925" t="inlineStr">
        <is>
          <t>2006</t>
        </is>
      </c>
      <c r="O925" t="inlineStr">
        <is>
          <t>eng</t>
        </is>
      </c>
      <c r="P925" t="inlineStr">
        <is>
          <t>nju</t>
        </is>
      </c>
      <c r="Q925" t="inlineStr">
        <is>
          <t>Advances in chemical physics ; v. 133</t>
        </is>
      </c>
      <c r="R925" t="inlineStr">
        <is>
          <t xml:space="preserve">QD </t>
        </is>
      </c>
      <c r="S925" t="n">
        <v>1</v>
      </c>
      <c r="T925" t="n">
        <v>2</v>
      </c>
      <c r="U925" t="inlineStr">
        <is>
          <t>2006-08-01</t>
        </is>
      </c>
      <c r="V925" t="inlineStr">
        <is>
          <t>2006-08-01</t>
        </is>
      </c>
      <c r="W925" t="inlineStr">
        <is>
          <t>2006-08-01</t>
        </is>
      </c>
      <c r="X925" t="inlineStr">
        <is>
          <t>2006-08-01</t>
        </is>
      </c>
      <c r="Y925" t="n">
        <v>134</v>
      </c>
      <c r="Z925" t="n">
        <v>101</v>
      </c>
      <c r="AA925" t="n">
        <v>101</v>
      </c>
      <c r="AB925" t="n">
        <v>1</v>
      </c>
      <c r="AC925" t="n">
        <v>1</v>
      </c>
      <c r="AD925" t="n">
        <v>2</v>
      </c>
      <c r="AE925" t="n">
        <v>2</v>
      </c>
      <c r="AF925" t="n">
        <v>0</v>
      </c>
      <c r="AG925" t="n">
        <v>0</v>
      </c>
      <c r="AH925" t="n">
        <v>0</v>
      </c>
      <c r="AI925" t="n">
        <v>0</v>
      </c>
      <c r="AJ925" t="n">
        <v>2</v>
      </c>
      <c r="AK925" t="n">
        <v>2</v>
      </c>
      <c r="AL925" t="n">
        <v>0</v>
      </c>
      <c r="AM925" t="n">
        <v>0</v>
      </c>
      <c r="AN925" t="n">
        <v>0</v>
      </c>
      <c r="AO925" t="n">
        <v>0</v>
      </c>
      <c r="AP925" t="inlineStr">
        <is>
          <t>No</t>
        </is>
      </c>
      <c r="AQ925" t="inlineStr">
        <is>
          <t>No</t>
        </is>
      </c>
      <c r="AS925">
        <f>HYPERLINK("https://creighton-primo.hosted.exlibrisgroup.com/primo-explore/search?tab=default_tab&amp;search_scope=EVERYTHING&amp;vid=01CRU&amp;lang=en_US&amp;offset=0&amp;query=any,contains,991004863249702656","Catalog Record")</f>
        <v/>
      </c>
      <c r="AT925">
        <f>HYPERLINK("http://www.worldcat.org/oclc/70259114","WorldCat Record")</f>
        <v/>
      </c>
      <c r="AU925" t="inlineStr">
        <is>
          <t>5617672190:eng</t>
        </is>
      </c>
      <c r="AV925" t="inlineStr">
        <is>
          <t>70259114</t>
        </is>
      </c>
      <c r="AW925" t="inlineStr">
        <is>
          <t>991004863249702656</t>
        </is>
      </c>
      <c r="AX925" t="inlineStr">
        <is>
          <t>991004863249702656</t>
        </is>
      </c>
      <c r="AY925" t="inlineStr">
        <is>
          <t>2261886710002656</t>
        </is>
      </c>
      <c r="AZ925" t="inlineStr">
        <is>
          <t>BOOK</t>
        </is>
      </c>
      <c r="BB925" t="inlineStr">
        <is>
          <t>9780470046074</t>
        </is>
      </c>
      <c r="BC925" t="inlineStr">
        <is>
          <t>32285005199202</t>
        </is>
      </c>
      <c r="BD925" t="inlineStr">
        <is>
          <t>893612863</t>
        </is>
      </c>
    </row>
    <row r="926">
      <c r="A926" t="inlineStr">
        <is>
          <t>No</t>
        </is>
      </c>
      <c r="B926" t="inlineStr">
        <is>
          <t>QD453 .A27 v.133</t>
        </is>
      </c>
      <c r="C926" t="inlineStr">
        <is>
          <t>0                      QD 0453000A  27                                                      v.133</t>
        </is>
      </c>
      <c r="D926" t="inlineStr">
        <is>
          <t>Fractals, diffusion and relaxation in disordered complex systems / edited by William T. Coffey and Yuri P. Kalmykov.</t>
        </is>
      </c>
      <c r="E926" t="inlineStr">
        <is>
          <t>V. 133 PT. A</t>
        </is>
      </c>
      <c r="F926" t="inlineStr">
        <is>
          <t>Yes</t>
        </is>
      </c>
      <c r="G926" t="inlineStr">
        <is>
          <t>1</t>
        </is>
      </c>
      <c r="H926" t="inlineStr">
        <is>
          <t>No</t>
        </is>
      </c>
      <c r="I926" t="inlineStr">
        <is>
          <t>No</t>
        </is>
      </c>
      <c r="J926" t="inlineStr">
        <is>
          <t>0</t>
        </is>
      </c>
      <c r="L926" t="inlineStr">
        <is>
          <t>Hoboken, N.J. : Wiley, 2006.</t>
        </is>
      </c>
      <c r="M926" t="inlineStr">
        <is>
          <t>2006</t>
        </is>
      </c>
      <c r="O926" t="inlineStr">
        <is>
          <t>eng</t>
        </is>
      </c>
      <c r="P926" t="inlineStr">
        <is>
          <t>nju</t>
        </is>
      </c>
      <c r="Q926" t="inlineStr">
        <is>
          <t>Advances in chemical physics ; v. 133</t>
        </is>
      </c>
      <c r="R926" t="inlineStr">
        <is>
          <t xml:space="preserve">QD </t>
        </is>
      </c>
      <c r="S926" t="n">
        <v>1</v>
      </c>
      <c r="T926" t="n">
        <v>2</v>
      </c>
      <c r="U926" t="inlineStr">
        <is>
          <t>2006-08-01</t>
        </is>
      </c>
      <c r="V926" t="inlineStr">
        <is>
          <t>2006-08-01</t>
        </is>
      </c>
      <c r="W926" t="inlineStr">
        <is>
          <t>2006-08-01</t>
        </is>
      </c>
      <c r="X926" t="inlineStr">
        <is>
          <t>2006-08-01</t>
        </is>
      </c>
      <c r="Y926" t="n">
        <v>134</v>
      </c>
      <c r="Z926" t="n">
        <v>101</v>
      </c>
      <c r="AA926" t="n">
        <v>101</v>
      </c>
      <c r="AB926" t="n">
        <v>1</v>
      </c>
      <c r="AC926" t="n">
        <v>1</v>
      </c>
      <c r="AD926" t="n">
        <v>2</v>
      </c>
      <c r="AE926" t="n">
        <v>2</v>
      </c>
      <c r="AF926" t="n">
        <v>0</v>
      </c>
      <c r="AG926" t="n">
        <v>0</v>
      </c>
      <c r="AH926" t="n">
        <v>0</v>
      </c>
      <c r="AI926" t="n">
        <v>0</v>
      </c>
      <c r="AJ926" t="n">
        <v>2</v>
      </c>
      <c r="AK926" t="n">
        <v>2</v>
      </c>
      <c r="AL926" t="n">
        <v>0</v>
      </c>
      <c r="AM926" t="n">
        <v>0</v>
      </c>
      <c r="AN926" t="n">
        <v>0</v>
      </c>
      <c r="AO926" t="n">
        <v>0</v>
      </c>
      <c r="AP926" t="inlineStr">
        <is>
          <t>No</t>
        </is>
      </c>
      <c r="AQ926" t="inlineStr">
        <is>
          <t>No</t>
        </is>
      </c>
      <c r="AS926">
        <f>HYPERLINK("https://creighton-primo.hosted.exlibrisgroup.com/primo-explore/search?tab=default_tab&amp;search_scope=EVERYTHING&amp;vid=01CRU&amp;lang=en_US&amp;offset=0&amp;query=any,contains,991004863249702656","Catalog Record")</f>
        <v/>
      </c>
      <c r="AT926">
        <f>HYPERLINK("http://www.worldcat.org/oclc/70259114","WorldCat Record")</f>
        <v/>
      </c>
      <c r="AU926" t="inlineStr">
        <is>
          <t>5617672190:eng</t>
        </is>
      </c>
      <c r="AV926" t="inlineStr">
        <is>
          <t>70259114</t>
        </is>
      </c>
      <c r="AW926" t="inlineStr">
        <is>
          <t>991004863249702656</t>
        </is>
      </c>
      <c r="AX926" t="inlineStr">
        <is>
          <t>991004863249702656</t>
        </is>
      </c>
      <c r="AY926" t="inlineStr">
        <is>
          <t>2261886710002656</t>
        </is>
      </c>
      <c r="AZ926" t="inlineStr">
        <is>
          <t>BOOK</t>
        </is>
      </c>
      <c r="BB926" t="inlineStr">
        <is>
          <t>9780470046074</t>
        </is>
      </c>
      <c r="BC926" t="inlineStr">
        <is>
          <t>32285005199137</t>
        </is>
      </c>
      <c r="BD926" t="inlineStr">
        <is>
          <t>893600324</t>
        </is>
      </c>
    </row>
    <row r="927">
      <c r="A927" t="inlineStr">
        <is>
          <t>No</t>
        </is>
      </c>
      <c r="B927" t="inlineStr">
        <is>
          <t>QD453 .A27 v.14</t>
        </is>
      </c>
      <c r="C927" t="inlineStr">
        <is>
          <t>0                      QD 0453000A  27                                                      v.14</t>
        </is>
      </c>
      <c r="D927" t="inlineStr">
        <is>
          <t>Correlation effects in atoms and molecules / edited by R. Lefebvre and C. Moser.</t>
        </is>
      </c>
      <c r="E927" t="inlineStr">
        <is>
          <t>V. 14</t>
        </is>
      </c>
      <c r="F927" t="inlineStr">
        <is>
          <t>No</t>
        </is>
      </c>
      <c r="G927" t="inlineStr">
        <is>
          <t>1</t>
        </is>
      </c>
      <c r="H927" t="inlineStr">
        <is>
          <t>No</t>
        </is>
      </c>
      <c r="I927" t="inlineStr">
        <is>
          <t>No</t>
        </is>
      </c>
      <c r="J927" t="inlineStr">
        <is>
          <t>0</t>
        </is>
      </c>
      <c r="L927" t="inlineStr">
        <is>
          <t>New York : Interscience Publishers, [1969]</t>
        </is>
      </c>
      <c r="M927" t="inlineStr">
        <is>
          <t>1969</t>
        </is>
      </c>
      <c r="O927" t="inlineStr">
        <is>
          <t>eng</t>
        </is>
      </c>
      <c r="P927" t="inlineStr">
        <is>
          <t>nyu</t>
        </is>
      </c>
      <c r="Q927" t="inlineStr">
        <is>
          <t>Advances in chemical physics ; v. 14</t>
        </is>
      </c>
      <c r="R927" t="inlineStr">
        <is>
          <t xml:space="preserve">QD </t>
        </is>
      </c>
      <c r="S927" t="n">
        <v>1</v>
      </c>
      <c r="T927" t="n">
        <v>1</v>
      </c>
      <c r="U927" t="inlineStr">
        <is>
          <t>1998-07-30</t>
        </is>
      </c>
      <c r="V927" t="inlineStr">
        <is>
          <t>1998-07-30</t>
        </is>
      </c>
      <c r="W927" t="inlineStr">
        <is>
          <t>1991-09-11</t>
        </is>
      </c>
      <c r="X927" t="inlineStr">
        <is>
          <t>1991-09-11</t>
        </is>
      </c>
      <c r="Y927" t="n">
        <v>137</v>
      </c>
      <c r="Z927" t="n">
        <v>98</v>
      </c>
      <c r="AA927" t="n">
        <v>152</v>
      </c>
      <c r="AB927" t="n">
        <v>1</v>
      </c>
      <c r="AC927" t="n">
        <v>1</v>
      </c>
      <c r="AD927" t="n">
        <v>6</v>
      </c>
      <c r="AE927" t="n">
        <v>6</v>
      </c>
      <c r="AF927" t="n">
        <v>2</v>
      </c>
      <c r="AG927" t="n">
        <v>2</v>
      </c>
      <c r="AH927" t="n">
        <v>2</v>
      </c>
      <c r="AI927" t="n">
        <v>2</v>
      </c>
      <c r="AJ927" t="n">
        <v>4</v>
      </c>
      <c r="AK927" t="n">
        <v>4</v>
      </c>
      <c r="AL927" t="n">
        <v>0</v>
      </c>
      <c r="AM927" t="n">
        <v>0</v>
      </c>
      <c r="AN927" t="n">
        <v>0</v>
      </c>
      <c r="AO927" t="n">
        <v>0</v>
      </c>
      <c r="AP927" t="inlineStr">
        <is>
          <t>No</t>
        </is>
      </c>
      <c r="AQ927" t="inlineStr">
        <is>
          <t>Yes</t>
        </is>
      </c>
      <c r="AR927">
        <f>HYPERLINK("http://catalog.hathitrust.org/Record/002031255","HathiTrust Record")</f>
        <v/>
      </c>
      <c r="AS927">
        <f>HYPERLINK("https://creighton-primo.hosted.exlibrisgroup.com/primo-explore/search?tab=default_tab&amp;search_scope=EVERYTHING&amp;vid=01CRU&amp;lang=en_US&amp;offset=0&amp;query=any,contains,991005365359702656","Catalog Record")</f>
        <v/>
      </c>
      <c r="AT927">
        <f>HYPERLINK("http://www.worldcat.org/oclc/14482434","WorldCat Record")</f>
        <v/>
      </c>
      <c r="AU927" t="inlineStr">
        <is>
          <t>353595053:eng</t>
        </is>
      </c>
      <c r="AV927" t="inlineStr">
        <is>
          <t>14482434</t>
        </is>
      </c>
      <c r="AW927" t="inlineStr">
        <is>
          <t>991005365359702656</t>
        </is>
      </c>
      <c r="AX927" t="inlineStr">
        <is>
          <t>991005365359702656</t>
        </is>
      </c>
      <c r="AY927" t="inlineStr">
        <is>
          <t>2263995530002656</t>
        </is>
      </c>
      <c r="AZ927" t="inlineStr">
        <is>
          <t>BOOK</t>
        </is>
      </c>
      <c r="BC927" t="inlineStr">
        <is>
          <t>32285000646207</t>
        </is>
      </c>
      <c r="BD927" t="inlineStr">
        <is>
          <t>893594915</t>
        </is>
      </c>
    </row>
    <row r="928">
      <c r="A928" t="inlineStr">
        <is>
          <t>No</t>
        </is>
      </c>
      <c r="B928" t="inlineStr">
        <is>
          <t>QD453 .A27 v.15</t>
        </is>
      </c>
      <c r="C928" t="inlineStr">
        <is>
          <t>0                      QD 0453000A  27                                                      v.15</t>
        </is>
      </c>
      <c r="D928" t="inlineStr">
        <is>
          <t>Stochastic processes in chemical physics / edited by K. E. Shuler.</t>
        </is>
      </c>
      <c r="E928" t="inlineStr">
        <is>
          <t>V. 15</t>
        </is>
      </c>
      <c r="F928" t="inlineStr">
        <is>
          <t>No</t>
        </is>
      </c>
      <c r="G928" t="inlineStr">
        <is>
          <t>1</t>
        </is>
      </c>
      <c r="H928" t="inlineStr">
        <is>
          <t>No</t>
        </is>
      </c>
      <c r="I928" t="inlineStr">
        <is>
          <t>No</t>
        </is>
      </c>
      <c r="J928" t="inlineStr">
        <is>
          <t>0</t>
        </is>
      </c>
      <c r="L928" t="inlineStr">
        <is>
          <t>New York : Interscience Publishers, [c1969]</t>
        </is>
      </c>
      <c r="M928" t="inlineStr">
        <is>
          <t>1969</t>
        </is>
      </c>
      <c r="O928" t="inlineStr">
        <is>
          <t>eng</t>
        </is>
      </c>
      <c r="P928" t="inlineStr">
        <is>
          <t xml:space="preserve">xx </t>
        </is>
      </c>
      <c r="Q928" t="inlineStr">
        <is>
          <t>Advances in chemical physics ; v. 15</t>
        </is>
      </c>
      <c r="R928" t="inlineStr">
        <is>
          <t xml:space="preserve">QD </t>
        </is>
      </c>
      <c r="S928" t="n">
        <v>1</v>
      </c>
      <c r="T928" t="n">
        <v>1</v>
      </c>
      <c r="U928" t="inlineStr">
        <is>
          <t>1998-07-30</t>
        </is>
      </c>
      <c r="V928" t="inlineStr">
        <is>
          <t>1998-07-30</t>
        </is>
      </c>
      <c r="W928" t="inlineStr">
        <is>
          <t>1991-09-11</t>
        </is>
      </c>
      <c r="X928" t="inlineStr">
        <is>
          <t>1991-09-11</t>
        </is>
      </c>
      <c r="Y928" t="n">
        <v>175</v>
      </c>
      <c r="Z928" t="n">
        <v>122</v>
      </c>
      <c r="AA928" t="n">
        <v>139</v>
      </c>
      <c r="AB928" t="n">
        <v>1</v>
      </c>
      <c r="AC928" t="n">
        <v>1</v>
      </c>
      <c r="AD928" t="n">
        <v>8</v>
      </c>
      <c r="AE928" t="n">
        <v>8</v>
      </c>
      <c r="AF928" t="n">
        <v>2</v>
      </c>
      <c r="AG928" t="n">
        <v>2</v>
      </c>
      <c r="AH928" t="n">
        <v>2</v>
      </c>
      <c r="AI928" t="n">
        <v>2</v>
      </c>
      <c r="AJ928" t="n">
        <v>6</v>
      </c>
      <c r="AK928" t="n">
        <v>6</v>
      </c>
      <c r="AL928" t="n">
        <v>0</v>
      </c>
      <c r="AM928" t="n">
        <v>0</v>
      </c>
      <c r="AN928" t="n">
        <v>0</v>
      </c>
      <c r="AO928" t="n">
        <v>0</v>
      </c>
      <c r="AP928" t="inlineStr">
        <is>
          <t>No</t>
        </is>
      </c>
      <c r="AQ928" t="inlineStr">
        <is>
          <t>No</t>
        </is>
      </c>
      <c r="AS928">
        <f>HYPERLINK("https://creighton-primo.hosted.exlibrisgroup.com/primo-explore/search?tab=default_tab&amp;search_scope=EVERYTHING&amp;vid=01CRU&amp;lang=en_US&amp;offset=0&amp;query=any,contains,991005359619702656","Catalog Record")</f>
        <v/>
      </c>
      <c r="AT928">
        <f>HYPERLINK("http://www.worldcat.org/oclc/1379212","WorldCat Record")</f>
        <v/>
      </c>
      <c r="AU928" t="inlineStr">
        <is>
          <t>10201296271:eng</t>
        </is>
      </c>
      <c r="AV928" t="inlineStr">
        <is>
          <t>1379212</t>
        </is>
      </c>
      <c r="AW928" t="inlineStr">
        <is>
          <t>991005359619702656</t>
        </is>
      </c>
      <c r="AX928" t="inlineStr">
        <is>
          <t>991005359619702656</t>
        </is>
      </c>
      <c r="AY928" t="inlineStr">
        <is>
          <t>2256561950002656</t>
        </is>
      </c>
      <c r="AZ928" t="inlineStr">
        <is>
          <t>BOOK</t>
        </is>
      </c>
      <c r="BC928" t="inlineStr">
        <is>
          <t>32285000646215</t>
        </is>
      </c>
      <c r="BD928" t="inlineStr">
        <is>
          <t>893514564</t>
        </is>
      </c>
    </row>
    <row r="929">
      <c r="A929" t="inlineStr">
        <is>
          <t>No</t>
        </is>
      </c>
      <c r="B929" t="inlineStr">
        <is>
          <t>QD453 .A27 v.21</t>
        </is>
      </c>
      <c r="C929" t="inlineStr">
        <is>
          <t>0                      QD 0453000A  27                                                      v.21</t>
        </is>
      </c>
      <c r="D929" t="inlineStr">
        <is>
          <t>Chemical dynamics : papers in honor of Henry Eyring / edited by Joseph O. Hirschfelder [and] Douglas Henderson.</t>
        </is>
      </c>
      <c r="E929" t="inlineStr">
        <is>
          <t>V. 21</t>
        </is>
      </c>
      <c r="F929" t="inlineStr">
        <is>
          <t>No</t>
        </is>
      </c>
      <c r="G929" t="inlineStr">
        <is>
          <t>1</t>
        </is>
      </c>
      <c r="H929" t="inlineStr">
        <is>
          <t>No</t>
        </is>
      </c>
      <c r="I929" t="inlineStr">
        <is>
          <t>No</t>
        </is>
      </c>
      <c r="J929" t="inlineStr">
        <is>
          <t>0</t>
        </is>
      </c>
      <c r="L929" t="inlineStr">
        <is>
          <t>New York : Wiley-Interscience, [1971]</t>
        </is>
      </c>
      <c r="M929" t="inlineStr">
        <is>
          <t>1971</t>
        </is>
      </c>
      <c r="O929" t="inlineStr">
        <is>
          <t>eng</t>
        </is>
      </c>
      <c r="P929" t="inlineStr">
        <is>
          <t>nyu</t>
        </is>
      </c>
      <c r="Q929" t="inlineStr">
        <is>
          <t>Advances in chemical physics ; v. 21</t>
        </is>
      </c>
      <c r="R929" t="inlineStr">
        <is>
          <t xml:space="preserve">QD </t>
        </is>
      </c>
      <c r="S929" t="n">
        <v>2</v>
      </c>
      <c r="T929" t="n">
        <v>2</v>
      </c>
      <c r="U929" t="inlineStr">
        <is>
          <t>1998-07-30</t>
        </is>
      </c>
      <c r="V929" t="inlineStr">
        <is>
          <t>1998-07-30</t>
        </is>
      </c>
      <c r="W929" t="inlineStr">
        <is>
          <t>1991-09-11</t>
        </is>
      </c>
      <c r="X929" t="inlineStr">
        <is>
          <t>1991-09-11</t>
        </is>
      </c>
      <c r="Y929" t="n">
        <v>212</v>
      </c>
      <c r="Z929" t="n">
        <v>165</v>
      </c>
      <c r="AA929" t="n">
        <v>220</v>
      </c>
      <c r="AB929" t="n">
        <v>2</v>
      </c>
      <c r="AC929" t="n">
        <v>2</v>
      </c>
      <c r="AD929" t="n">
        <v>11</v>
      </c>
      <c r="AE929" t="n">
        <v>11</v>
      </c>
      <c r="AF929" t="n">
        <v>5</v>
      </c>
      <c r="AG929" t="n">
        <v>5</v>
      </c>
      <c r="AH929" t="n">
        <v>1</v>
      </c>
      <c r="AI929" t="n">
        <v>1</v>
      </c>
      <c r="AJ929" t="n">
        <v>7</v>
      </c>
      <c r="AK929" t="n">
        <v>7</v>
      </c>
      <c r="AL929" t="n">
        <v>1</v>
      </c>
      <c r="AM929" t="n">
        <v>1</v>
      </c>
      <c r="AN929" t="n">
        <v>0</v>
      </c>
      <c r="AO929" t="n">
        <v>0</v>
      </c>
      <c r="AP929" t="inlineStr">
        <is>
          <t>No</t>
        </is>
      </c>
      <c r="AQ929" t="inlineStr">
        <is>
          <t>No</t>
        </is>
      </c>
      <c r="AS929">
        <f>HYPERLINK("https://creighton-primo.hosted.exlibrisgroup.com/primo-explore/search?tab=default_tab&amp;search_scope=EVERYTHING&amp;vid=01CRU&amp;lang=en_US&amp;offset=0&amp;query=any,contains,991005356549702656","Catalog Record")</f>
        <v/>
      </c>
      <c r="AT929">
        <f>HYPERLINK("http://www.worldcat.org/oclc/709716","WorldCat Record")</f>
        <v/>
      </c>
      <c r="AU929" t="inlineStr">
        <is>
          <t>5454078469:eng</t>
        </is>
      </c>
      <c r="AV929" t="inlineStr">
        <is>
          <t>709716</t>
        </is>
      </c>
      <c r="AW929" t="inlineStr">
        <is>
          <t>991005356549702656</t>
        </is>
      </c>
      <c r="AX929" t="inlineStr">
        <is>
          <t>991005356549702656</t>
        </is>
      </c>
      <c r="AY929" t="inlineStr">
        <is>
          <t>2267480820002656</t>
        </is>
      </c>
      <c r="AZ929" t="inlineStr">
        <is>
          <t>BOOK</t>
        </is>
      </c>
      <c r="BC929" t="inlineStr">
        <is>
          <t>32285000646272</t>
        </is>
      </c>
      <c r="BD929" t="inlineStr">
        <is>
          <t>893345065</t>
        </is>
      </c>
    </row>
    <row r="930">
      <c r="A930" t="inlineStr">
        <is>
          <t>No</t>
        </is>
      </c>
      <c r="B930" t="inlineStr">
        <is>
          <t>QD453 .A27 v.27</t>
        </is>
      </c>
      <c r="C930" t="inlineStr">
        <is>
          <t>0                      QD 0453000A  27                                                      v.27</t>
        </is>
      </c>
      <c r="D930" t="inlineStr">
        <is>
          <t>Aspects of the study of surfaces / edited by I. Prigogine and Stuart A. Rice.</t>
        </is>
      </c>
      <c r="E930" t="inlineStr">
        <is>
          <t>V. 27</t>
        </is>
      </c>
      <c r="F930" t="inlineStr">
        <is>
          <t>No</t>
        </is>
      </c>
      <c r="G930" t="inlineStr">
        <is>
          <t>1</t>
        </is>
      </c>
      <c r="H930" t="inlineStr">
        <is>
          <t>No</t>
        </is>
      </c>
      <c r="I930" t="inlineStr">
        <is>
          <t>No</t>
        </is>
      </c>
      <c r="J930" t="inlineStr">
        <is>
          <t>0</t>
        </is>
      </c>
      <c r="L930" t="inlineStr">
        <is>
          <t>New York : Wiley, [1974]</t>
        </is>
      </c>
      <c r="M930" t="inlineStr">
        <is>
          <t>1974</t>
        </is>
      </c>
      <c r="O930" t="inlineStr">
        <is>
          <t>eng</t>
        </is>
      </c>
      <c r="P930" t="inlineStr">
        <is>
          <t>nyu</t>
        </is>
      </c>
      <c r="Q930" t="inlineStr">
        <is>
          <t>Advances in chemical physics ; v. 27</t>
        </is>
      </c>
      <c r="R930" t="inlineStr">
        <is>
          <t xml:space="preserve">QD </t>
        </is>
      </c>
      <c r="S930" t="n">
        <v>1</v>
      </c>
      <c r="T930" t="n">
        <v>1</v>
      </c>
      <c r="U930" t="inlineStr">
        <is>
          <t>1998-07-30</t>
        </is>
      </c>
      <c r="V930" t="inlineStr">
        <is>
          <t>1998-07-30</t>
        </is>
      </c>
      <c r="W930" t="inlineStr">
        <is>
          <t>1991-09-11</t>
        </is>
      </c>
      <c r="X930" t="inlineStr">
        <is>
          <t>1991-09-11</t>
        </is>
      </c>
      <c r="Y930" t="n">
        <v>158</v>
      </c>
      <c r="Z930" t="n">
        <v>113</v>
      </c>
      <c r="AA930" t="n">
        <v>166</v>
      </c>
      <c r="AB930" t="n">
        <v>1</v>
      </c>
      <c r="AC930" t="n">
        <v>1</v>
      </c>
      <c r="AD930" t="n">
        <v>7</v>
      </c>
      <c r="AE930" t="n">
        <v>7</v>
      </c>
      <c r="AF930" t="n">
        <v>2</v>
      </c>
      <c r="AG930" t="n">
        <v>2</v>
      </c>
      <c r="AH930" t="n">
        <v>2</v>
      </c>
      <c r="AI930" t="n">
        <v>2</v>
      </c>
      <c r="AJ930" t="n">
        <v>5</v>
      </c>
      <c r="AK930" t="n">
        <v>5</v>
      </c>
      <c r="AL930" t="n">
        <v>0</v>
      </c>
      <c r="AM930" t="n">
        <v>0</v>
      </c>
      <c r="AN930" t="n">
        <v>0</v>
      </c>
      <c r="AO930" t="n">
        <v>0</v>
      </c>
      <c r="AP930" t="inlineStr">
        <is>
          <t>No</t>
        </is>
      </c>
      <c r="AQ930" t="inlineStr">
        <is>
          <t>No</t>
        </is>
      </c>
      <c r="AS930">
        <f>HYPERLINK("https://creighton-primo.hosted.exlibrisgroup.com/primo-explore/search?tab=default_tab&amp;search_scope=EVERYTHING&amp;vid=01CRU&amp;lang=en_US&amp;offset=0&amp;query=any,contains,991005357039702656","Catalog Record")</f>
        <v/>
      </c>
      <c r="AT930">
        <f>HYPERLINK("http://www.worldcat.org/oclc/866551","WorldCat Record")</f>
        <v/>
      </c>
      <c r="AU930" t="inlineStr">
        <is>
          <t>766778988:eng</t>
        </is>
      </c>
      <c r="AV930" t="inlineStr">
        <is>
          <t>866551</t>
        </is>
      </c>
      <c r="AW930" t="inlineStr">
        <is>
          <t>991005357039702656</t>
        </is>
      </c>
      <c r="AX930" t="inlineStr">
        <is>
          <t>991005357039702656</t>
        </is>
      </c>
      <c r="AY930" t="inlineStr">
        <is>
          <t>2262674640002656</t>
        </is>
      </c>
      <c r="AZ930" t="inlineStr">
        <is>
          <t>BOOK</t>
        </is>
      </c>
      <c r="BB930" t="inlineStr">
        <is>
          <t>9780471699323</t>
        </is>
      </c>
      <c r="BC930" t="inlineStr">
        <is>
          <t>32285000646330</t>
        </is>
      </c>
      <c r="BD930" t="inlineStr">
        <is>
          <t>893527450</t>
        </is>
      </c>
    </row>
    <row r="931">
      <c r="A931" t="inlineStr">
        <is>
          <t>No</t>
        </is>
      </c>
      <c r="B931" t="inlineStr">
        <is>
          <t>QD453 .A27 v.28</t>
        </is>
      </c>
      <c r="C931" t="inlineStr">
        <is>
          <t>0                      QD 0453000A  27                                                      v.28</t>
        </is>
      </c>
      <c r="D931" t="inlineStr">
        <is>
          <t>The excited state in chemical physics / edited by J. Wm. McGowan.</t>
        </is>
      </c>
      <c r="E931" t="inlineStr">
        <is>
          <t>V. 28</t>
        </is>
      </c>
      <c r="F931" t="inlineStr">
        <is>
          <t>No</t>
        </is>
      </c>
      <c r="G931" t="inlineStr">
        <is>
          <t>1</t>
        </is>
      </c>
      <c r="H931" t="inlineStr">
        <is>
          <t>No</t>
        </is>
      </c>
      <c r="I931" t="inlineStr">
        <is>
          <t>No</t>
        </is>
      </c>
      <c r="J931" t="inlineStr">
        <is>
          <t>0</t>
        </is>
      </c>
      <c r="K931" t="inlineStr">
        <is>
          <t>McGowan, J. William (James William), 1931-</t>
        </is>
      </c>
      <c r="L931" t="inlineStr">
        <is>
          <t>New York : Wiley, 1975.</t>
        </is>
      </c>
      <c r="M931" t="inlineStr">
        <is>
          <t>1975</t>
        </is>
      </c>
      <c r="O931" t="inlineStr">
        <is>
          <t>eng</t>
        </is>
      </c>
      <c r="P931" t="inlineStr">
        <is>
          <t>nyu</t>
        </is>
      </c>
      <c r="Q931" t="inlineStr">
        <is>
          <t>Advances in chemical physics ; v. 28</t>
        </is>
      </c>
      <c r="R931" t="inlineStr">
        <is>
          <t xml:space="preserve">QD </t>
        </is>
      </c>
      <c r="S931" t="n">
        <v>1</v>
      </c>
      <c r="T931" t="n">
        <v>1</v>
      </c>
      <c r="U931" t="inlineStr">
        <is>
          <t>1998-07-30</t>
        </is>
      </c>
      <c r="V931" t="inlineStr">
        <is>
          <t>1998-07-30</t>
        </is>
      </c>
      <c r="W931" t="inlineStr">
        <is>
          <t>1991-05-30</t>
        </is>
      </c>
      <c r="X931" t="inlineStr">
        <is>
          <t>1991-05-30</t>
        </is>
      </c>
      <c r="Y931" t="n">
        <v>211</v>
      </c>
      <c r="Z931" t="n">
        <v>160</v>
      </c>
      <c r="AA931" t="n">
        <v>218</v>
      </c>
      <c r="AB931" t="n">
        <v>1</v>
      </c>
      <c r="AC931" t="n">
        <v>1</v>
      </c>
      <c r="AD931" t="n">
        <v>9</v>
      </c>
      <c r="AE931" t="n">
        <v>9</v>
      </c>
      <c r="AF931" t="n">
        <v>2</v>
      </c>
      <c r="AG931" t="n">
        <v>2</v>
      </c>
      <c r="AH931" t="n">
        <v>2</v>
      </c>
      <c r="AI931" t="n">
        <v>2</v>
      </c>
      <c r="AJ931" t="n">
        <v>7</v>
      </c>
      <c r="AK931" t="n">
        <v>7</v>
      </c>
      <c r="AL931" t="n">
        <v>0</v>
      </c>
      <c r="AM931" t="n">
        <v>0</v>
      </c>
      <c r="AN931" t="n">
        <v>0</v>
      </c>
      <c r="AO931" t="n">
        <v>0</v>
      </c>
      <c r="AP931" t="inlineStr">
        <is>
          <t>No</t>
        </is>
      </c>
      <c r="AQ931" t="inlineStr">
        <is>
          <t>Yes</t>
        </is>
      </c>
      <c r="AR931">
        <f>HYPERLINK("http://catalog.hathitrust.org/Record/001021860","HathiTrust Record")</f>
        <v/>
      </c>
      <c r="AS931">
        <f>HYPERLINK("https://creighton-primo.hosted.exlibrisgroup.com/primo-explore/search?tab=default_tab&amp;search_scope=EVERYTHING&amp;vid=01CRU&amp;lang=en_US&amp;offset=0&amp;query=any,contains,991005357059702656","Catalog Record")</f>
        <v/>
      </c>
      <c r="AT931">
        <f>HYPERLINK("http://www.worldcat.org/oclc/868107","WorldCat Record")</f>
        <v/>
      </c>
      <c r="AU931" t="inlineStr">
        <is>
          <t>3377288457:eng</t>
        </is>
      </c>
      <c r="AV931" t="inlineStr">
        <is>
          <t>868107</t>
        </is>
      </c>
      <c r="AW931" t="inlineStr">
        <is>
          <t>991005357059702656</t>
        </is>
      </c>
      <c r="AX931" t="inlineStr">
        <is>
          <t>991005357059702656</t>
        </is>
      </c>
      <c r="AY931" t="inlineStr">
        <is>
          <t>2268829200002656</t>
        </is>
      </c>
      <c r="AZ931" t="inlineStr">
        <is>
          <t>BOOK</t>
        </is>
      </c>
      <c r="BB931" t="inlineStr">
        <is>
          <t>9780471584254</t>
        </is>
      </c>
      <c r="BC931" t="inlineStr">
        <is>
          <t>32285000646348</t>
        </is>
      </c>
      <c r="BD931" t="inlineStr">
        <is>
          <t>893619842</t>
        </is>
      </c>
    </row>
    <row r="932">
      <c r="A932" t="inlineStr">
        <is>
          <t>No</t>
        </is>
      </c>
      <c r="B932" t="inlineStr">
        <is>
          <t>QD453 .A27 v.29</t>
        </is>
      </c>
      <c r="C932" t="inlineStr">
        <is>
          <t>0                      QD 0453000A  27                                                      v.29</t>
        </is>
      </c>
      <c r="D932" t="inlineStr">
        <is>
          <t>Membranes, dissipative structures, and evolution / edited by G. Nicols and R. Lefever.</t>
        </is>
      </c>
      <c r="E932" t="inlineStr">
        <is>
          <t>V. 29</t>
        </is>
      </c>
      <c r="F932" t="inlineStr">
        <is>
          <t>No</t>
        </is>
      </c>
      <c r="G932" t="inlineStr">
        <is>
          <t>1</t>
        </is>
      </c>
      <c r="H932" t="inlineStr">
        <is>
          <t>No</t>
        </is>
      </c>
      <c r="I932" t="inlineStr">
        <is>
          <t>No</t>
        </is>
      </c>
      <c r="J932" t="inlineStr">
        <is>
          <t>0</t>
        </is>
      </c>
      <c r="L932" t="inlineStr">
        <is>
          <t>New York : Wiley, [1975] c1974.</t>
        </is>
      </c>
      <c r="M932" t="inlineStr">
        <is>
          <t>1975</t>
        </is>
      </c>
      <c r="O932" t="inlineStr">
        <is>
          <t>eng</t>
        </is>
      </c>
      <c r="P932" t="inlineStr">
        <is>
          <t>nyu</t>
        </is>
      </c>
      <c r="Q932" t="inlineStr">
        <is>
          <t>Advances in chemical physics ; v. 29</t>
        </is>
      </c>
      <c r="R932" t="inlineStr">
        <is>
          <t xml:space="preserve">QD </t>
        </is>
      </c>
      <c r="S932" t="n">
        <v>1</v>
      </c>
      <c r="T932" t="n">
        <v>1</v>
      </c>
      <c r="U932" t="inlineStr">
        <is>
          <t>1998-07-30</t>
        </is>
      </c>
      <c r="V932" t="inlineStr">
        <is>
          <t>1998-07-30</t>
        </is>
      </c>
      <c r="W932" t="inlineStr">
        <is>
          <t>1991-09-11</t>
        </is>
      </c>
      <c r="X932" t="inlineStr">
        <is>
          <t>1991-09-11</t>
        </is>
      </c>
      <c r="Y932" t="n">
        <v>200</v>
      </c>
      <c r="Z932" t="n">
        <v>146</v>
      </c>
      <c r="AA932" t="n">
        <v>200</v>
      </c>
      <c r="AB932" t="n">
        <v>1</v>
      </c>
      <c r="AC932" t="n">
        <v>1</v>
      </c>
      <c r="AD932" t="n">
        <v>7</v>
      </c>
      <c r="AE932" t="n">
        <v>7</v>
      </c>
      <c r="AF932" t="n">
        <v>1</v>
      </c>
      <c r="AG932" t="n">
        <v>1</v>
      </c>
      <c r="AH932" t="n">
        <v>2</v>
      </c>
      <c r="AI932" t="n">
        <v>2</v>
      </c>
      <c r="AJ932" t="n">
        <v>5</v>
      </c>
      <c r="AK932" t="n">
        <v>5</v>
      </c>
      <c r="AL932" t="n">
        <v>0</v>
      </c>
      <c r="AM932" t="n">
        <v>0</v>
      </c>
      <c r="AN932" t="n">
        <v>0</v>
      </c>
      <c r="AO932" t="n">
        <v>0</v>
      </c>
      <c r="AP932" t="inlineStr">
        <is>
          <t>No</t>
        </is>
      </c>
      <c r="AQ932" t="inlineStr">
        <is>
          <t>Yes</t>
        </is>
      </c>
      <c r="AR932">
        <f>HYPERLINK("http://catalog.hathitrust.org/Record/000029692","HathiTrust Record")</f>
        <v/>
      </c>
      <c r="AS932">
        <f>HYPERLINK("https://creighton-primo.hosted.exlibrisgroup.com/primo-explore/search?tab=default_tab&amp;search_scope=EVERYTHING&amp;vid=01CRU&amp;lang=en_US&amp;offset=0&amp;query=any,contains,991005357719702656","Catalog Record")</f>
        <v/>
      </c>
      <c r="AT932">
        <f>HYPERLINK("http://www.worldcat.org/oclc/1092607","WorldCat Record")</f>
        <v/>
      </c>
      <c r="AU932" t="inlineStr">
        <is>
          <t>766778994:eng</t>
        </is>
      </c>
      <c r="AV932" t="inlineStr">
        <is>
          <t>1092607</t>
        </is>
      </c>
      <c r="AW932" t="inlineStr">
        <is>
          <t>991005357719702656</t>
        </is>
      </c>
      <c r="AX932" t="inlineStr">
        <is>
          <t>991005357719702656</t>
        </is>
      </c>
      <c r="AY932" t="inlineStr">
        <is>
          <t>2264354310002656</t>
        </is>
      </c>
      <c r="AZ932" t="inlineStr">
        <is>
          <t>BOOK</t>
        </is>
      </c>
      <c r="BB932" t="inlineStr">
        <is>
          <t>9780471637929</t>
        </is>
      </c>
      <c r="BC932" t="inlineStr">
        <is>
          <t>32285000646355</t>
        </is>
      </c>
      <c r="BD932" t="inlineStr">
        <is>
          <t>893902538</t>
        </is>
      </c>
    </row>
    <row r="933">
      <c r="A933" t="inlineStr">
        <is>
          <t>No</t>
        </is>
      </c>
      <c r="B933" t="inlineStr">
        <is>
          <t>QD453 .A27 v.30</t>
        </is>
      </c>
      <c r="C933" t="inlineStr">
        <is>
          <t>0                      QD 0453000A  27                                                      v.30</t>
        </is>
      </c>
      <c r="D933" t="inlineStr">
        <is>
          <t>Molecular scattering : physical and chemical applications / edited by K. P. Lawley.</t>
        </is>
      </c>
      <c r="E933" t="inlineStr">
        <is>
          <t>V. 30</t>
        </is>
      </c>
      <c r="F933" t="inlineStr">
        <is>
          <t>No</t>
        </is>
      </c>
      <c r="G933" t="inlineStr">
        <is>
          <t>1</t>
        </is>
      </c>
      <c r="H933" t="inlineStr">
        <is>
          <t>No</t>
        </is>
      </c>
      <c r="I933" t="inlineStr">
        <is>
          <t>No</t>
        </is>
      </c>
      <c r="J933" t="inlineStr">
        <is>
          <t>0</t>
        </is>
      </c>
      <c r="L933" t="inlineStr">
        <is>
          <t>London ; New York : Wiley, [c1975]</t>
        </is>
      </c>
      <c r="M933" t="inlineStr">
        <is>
          <t>1975</t>
        </is>
      </c>
      <c r="O933" t="inlineStr">
        <is>
          <t>eng</t>
        </is>
      </c>
      <c r="P933" t="inlineStr">
        <is>
          <t>enk</t>
        </is>
      </c>
      <c r="Q933" t="inlineStr">
        <is>
          <t>Advances in chemical physics ; v. 30</t>
        </is>
      </c>
      <c r="R933" t="inlineStr">
        <is>
          <t xml:space="preserve">QD </t>
        </is>
      </c>
      <c r="S933" t="n">
        <v>1</v>
      </c>
      <c r="T933" t="n">
        <v>1</v>
      </c>
      <c r="U933" t="inlineStr">
        <is>
          <t>1998-07-30</t>
        </is>
      </c>
      <c r="V933" t="inlineStr">
        <is>
          <t>1998-07-30</t>
        </is>
      </c>
      <c r="W933" t="inlineStr">
        <is>
          <t>1991-09-11</t>
        </is>
      </c>
      <c r="X933" t="inlineStr">
        <is>
          <t>1991-09-11</t>
        </is>
      </c>
      <c r="Y933" t="n">
        <v>197</v>
      </c>
      <c r="Z933" t="n">
        <v>140</v>
      </c>
      <c r="AA933" t="n">
        <v>205</v>
      </c>
      <c r="AB933" t="n">
        <v>2</v>
      </c>
      <c r="AC933" t="n">
        <v>2</v>
      </c>
      <c r="AD933" t="n">
        <v>9</v>
      </c>
      <c r="AE933" t="n">
        <v>9</v>
      </c>
      <c r="AF933" t="n">
        <v>2</v>
      </c>
      <c r="AG933" t="n">
        <v>2</v>
      </c>
      <c r="AH933" t="n">
        <v>2</v>
      </c>
      <c r="AI933" t="n">
        <v>2</v>
      </c>
      <c r="AJ933" t="n">
        <v>6</v>
      </c>
      <c r="AK933" t="n">
        <v>6</v>
      </c>
      <c r="AL933" t="n">
        <v>1</v>
      </c>
      <c r="AM933" t="n">
        <v>1</v>
      </c>
      <c r="AN933" t="n">
        <v>0</v>
      </c>
      <c r="AO933" t="n">
        <v>0</v>
      </c>
      <c r="AP933" t="inlineStr">
        <is>
          <t>No</t>
        </is>
      </c>
      <c r="AQ933" t="inlineStr">
        <is>
          <t>Yes</t>
        </is>
      </c>
      <c r="AR933">
        <f>HYPERLINK("http://catalog.hathitrust.org/Record/006234468","HathiTrust Record")</f>
        <v/>
      </c>
      <c r="AS933">
        <f>HYPERLINK("https://creighton-primo.hosted.exlibrisgroup.com/primo-explore/search?tab=default_tab&amp;search_scope=EVERYTHING&amp;vid=01CRU&amp;lang=en_US&amp;offset=0&amp;query=any,contains,991005357729702656","Catalog Record")</f>
        <v/>
      </c>
      <c r="AT933">
        <f>HYPERLINK("http://www.worldcat.org/oclc/1092616","WorldCat Record")</f>
        <v/>
      </c>
      <c r="AU933" t="inlineStr">
        <is>
          <t>807839762:eng</t>
        </is>
      </c>
      <c r="AV933" t="inlineStr">
        <is>
          <t>1092616</t>
        </is>
      </c>
      <c r="AW933" t="inlineStr">
        <is>
          <t>991005357729702656</t>
        </is>
      </c>
      <c r="AX933" t="inlineStr">
        <is>
          <t>991005357729702656</t>
        </is>
      </c>
      <c r="AY933" t="inlineStr">
        <is>
          <t>2264353880002656</t>
        </is>
      </c>
      <c r="AZ933" t="inlineStr">
        <is>
          <t>BOOK</t>
        </is>
      </c>
      <c r="BB933" t="inlineStr">
        <is>
          <t>9780471519003</t>
        </is>
      </c>
      <c r="BC933" t="inlineStr">
        <is>
          <t>32285000646363</t>
        </is>
      </c>
      <c r="BD933" t="inlineStr">
        <is>
          <t>893520999</t>
        </is>
      </c>
    </row>
    <row r="934">
      <c r="A934" t="inlineStr">
        <is>
          <t>No</t>
        </is>
      </c>
      <c r="B934" t="inlineStr">
        <is>
          <t>QD453 .A27 v.31</t>
        </is>
      </c>
      <c r="C934" t="inlineStr">
        <is>
          <t>0                      QD 0453000A  27                                                      v.31</t>
        </is>
      </c>
      <c r="D934" t="inlineStr">
        <is>
          <t>Non-simple liquids / edited by I. Prigogine and Stuart A. Rice.</t>
        </is>
      </c>
      <c r="E934" t="inlineStr">
        <is>
          <t>V. 31</t>
        </is>
      </c>
      <c r="F934" t="inlineStr">
        <is>
          <t>No</t>
        </is>
      </c>
      <c r="G934" t="inlineStr">
        <is>
          <t>1</t>
        </is>
      </c>
      <c r="H934" t="inlineStr">
        <is>
          <t>No</t>
        </is>
      </c>
      <c r="I934" t="inlineStr">
        <is>
          <t>No</t>
        </is>
      </c>
      <c r="J934" t="inlineStr">
        <is>
          <t>0</t>
        </is>
      </c>
      <c r="L934" t="inlineStr">
        <is>
          <t>New York : Wiley, [c1975]</t>
        </is>
      </c>
      <c r="M934" t="inlineStr">
        <is>
          <t>1975</t>
        </is>
      </c>
      <c r="O934" t="inlineStr">
        <is>
          <t>eng</t>
        </is>
      </c>
      <c r="P934" t="inlineStr">
        <is>
          <t>nyu</t>
        </is>
      </c>
      <c r="Q934" t="inlineStr">
        <is>
          <t>Advances in chemical physics ; v. 31</t>
        </is>
      </c>
      <c r="R934" t="inlineStr">
        <is>
          <t xml:space="preserve">QD </t>
        </is>
      </c>
      <c r="S934" t="n">
        <v>1</v>
      </c>
      <c r="T934" t="n">
        <v>1</v>
      </c>
      <c r="U934" t="inlineStr">
        <is>
          <t>1998-07-30</t>
        </is>
      </c>
      <c r="V934" t="inlineStr">
        <is>
          <t>1998-07-30</t>
        </is>
      </c>
      <c r="W934" t="inlineStr">
        <is>
          <t>1991-09-11</t>
        </is>
      </c>
      <c r="X934" t="inlineStr">
        <is>
          <t>1991-09-11</t>
        </is>
      </c>
      <c r="Y934" t="n">
        <v>153</v>
      </c>
      <c r="Z934" t="n">
        <v>113</v>
      </c>
      <c r="AA934" t="n">
        <v>179</v>
      </c>
      <c r="AB934" t="n">
        <v>1</v>
      </c>
      <c r="AC934" t="n">
        <v>1</v>
      </c>
      <c r="AD934" t="n">
        <v>6</v>
      </c>
      <c r="AE934" t="n">
        <v>6</v>
      </c>
      <c r="AF934" t="n">
        <v>2</v>
      </c>
      <c r="AG934" t="n">
        <v>2</v>
      </c>
      <c r="AH934" t="n">
        <v>2</v>
      </c>
      <c r="AI934" t="n">
        <v>2</v>
      </c>
      <c r="AJ934" t="n">
        <v>4</v>
      </c>
      <c r="AK934" t="n">
        <v>4</v>
      </c>
      <c r="AL934" t="n">
        <v>0</v>
      </c>
      <c r="AM934" t="n">
        <v>0</v>
      </c>
      <c r="AN934" t="n">
        <v>0</v>
      </c>
      <c r="AO934" t="n">
        <v>0</v>
      </c>
      <c r="AP934" t="inlineStr">
        <is>
          <t>No</t>
        </is>
      </c>
      <c r="AQ934" t="inlineStr">
        <is>
          <t>No</t>
        </is>
      </c>
      <c r="AS934">
        <f>HYPERLINK("https://creighton-primo.hosted.exlibrisgroup.com/primo-explore/search?tab=default_tab&amp;search_scope=EVERYTHING&amp;vid=01CRU&amp;lang=en_US&amp;offset=0&amp;query=any,contains,991005358209702656","Catalog Record")</f>
        <v/>
      </c>
      <c r="AT934">
        <f>HYPERLINK("http://www.worldcat.org/oclc/1322955","WorldCat Record")</f>
        <v/>
      </c>
      <c r="AU934" t="inlineStr">
        <is>
          <t>766779422:eng</t>
        </is>
      </c>
      <c r="AV934" t="inlineStr">
        <is>
          <t>1322955</t>
        </is>
      </c>
      <c r="AW934" t="inlineStr">
        <is>
          <t>991005358209702656</t>
        </is>
      </c>
      <c r="AX934" t="inlineStr">
        <is>
          <t>991005358209702656</t>
        </is>
      </c>
      <c r="AY934" t="inlineStr">
        <is>
          <t>2254935080002656</t>
        </is>
      </c>
      <c r="AZ934" t="inlineStr">
        <is>
          <t>BOOK</t>
        </is>
      </c>
      <c r="BB934" t="inlineStr">
        <is>
          <t>9780471699330</t>
        </is>
      </c>
      <c r="BC934" t="inlineStr">
        <is>
          <t>32285000646371</t>
        </is>
      </c>
      <c r="BD934" t="inlineStr">
        <is>
          <t>893345075</t>
        </is>
      </c>
    </row>
    <row r="935">
      <c r="A935" t="inlineStr">
        <is>
          <t>No</t>
        </is>
      </c>
      <c r="B935" t="inlineStr">
        <is>
          <t>QD453 .A27 v.32</t>
        </is>
      </c>
      <c r="C935" t="inlineStr">
        <is>
          <t>0                      QD 0453000A  27                                                      v.32</t>
        </is>
      </c>
      <c r="D935" t="inlineStr">
        <is>
          <t>Proceedings of the Conference on Instability and Dissipative Structures in Hydrodynamics / edited by I. Prigogine and Stuart A. Rice.</t>
        </is>
      </c>
      <c r="E935" t="inlineStr">
        <is>
          <t>V. 32</t>
        </is>
      </c>
      <c r="F935" t="inlineStr">
        <is>
          <t>No</t>
        </is>
      </c>
      <c r="G935" t="inlineStr">
        <is>
          <t>1</t>
        </is>
      </c>
      <c r="H935" t="inlineStr">
        <is>
          <t>No</t>
        </is>
      </c>
      <c r="I935" t="inlineStr">
        <is>
          <t>No</t>
        </is>
      </c>
      <c r="J935" t="inlineStr">
        <is>
          <t>0</t>
        </is>
      </c>
      <c r="K935" t="inlineStr">
        <is>
          <t>Conference on Instability and Dissipative Structures in Hydrodynamics (1973 : Brussels, Belgium)</t>
        </is>
      </c>
      <c r="L935" t="inlineStr">
        <is>
          <t>New York : Wiley, [1975]</t>
        </is>
      </c>
      <c r="M935" t="inlineStr">
        <is>
          <t>1975</t>
        </is>
      </c>
      <c r="O935" t="inlineStr">
        <is>
          <t>eng</t>
        </is>
      </c>
      <c r="P935" t="inlineStr">
        <is>
          <t>nyu</t>
        </is>
      </c>
      <c r="Q935" t="inlineStr">
        <is>
          <t>Advances in chemical physics ; v. 32</t>
        </is>
      </c>
      <c r="R935" t="inlineStr">
        <is>
          <t xml:space="preserve">QD </t>
        </is>
      </c>
      <c r="S935" t="n">
        <v>1</v>
      </c>
      <c r="T935" t="n">
        <v>1</v>
      </c>
      <c r="U935" t="inlineStr">
        <is>
          <t>1998-07-30</t>
        </is>
      </c>
      <c r="V935" t="inlineStr">
        <is>
          <t>1998-07-30</t>
        </is>
      </c>
      <c r="W935" t="inlineStr">
        <is>
          <t>1991-09-11</t>
        </is>
      </c>
      <c r="X935" t="inlineStr">
        <is>
          <t>1991-09-11</t>
        </is>
      </c>
      <c r="Y935" t="n">
        <v>141</v>
      </c>
      <c r="Z935" t="n">
        <v>112</v>
      </c>
      <c r="AA935" t="n">
        <v>171</v>
      </c>
      <c r="AB935" t="n">
        <v>1</v>
      </c>
      <c r="AC935" t="n">
        <v>1</v>
      </c>
      <c r="AD935" t="n">
        <v>5</v>
      </c>
      <c r="AE935" t="n">
        <v>5</v>
      </c>
      <c r="AF935" t="n">
        <v>2</v>
      </c>
      <c r="AG935" t="n">
        <v>2</v>
      </c>
      <c r="AH935" t="n">
        <v>1</v>
      </c>
      <c r="AI935" t="n">
        <v>1</v>
      </c>
      <c r="AJ935" t="n">
        <v>4</v>
      </c>
      <c r="AK935" t="n">
        <v>4</v>
      </c>
      <c r="AL935" t="n">
        <v>0</v>
      </c>
      <c r="AM935" t="n">
        <v>0</v>
      </c>
      <c r="AN935" t="n">
        <v>0</v>
      </c>
      <c r="AO935" t="n">
        <v>0</v>
      </c>
      <c r="AP935" t="inlineStr">
        <is>
          <t>No</t>
        </is>
      </c>
      <c r="AQ935" t="inlineStr">
        <is>
          <t>No</t>
        </is>
      </c>
      <c r="AS935">
        <f>HYPERLINK("https://creighton-primo.hosted.exlibrisgroup.com/primo-explore/search?tab=default_tab&amp;search_scope=EVERYTHING&amp;vid=01CRU&amp;lang=en_US&amp;offset=0&amp;query=any,contains,991005365369702656","Catalog Record")</f>
        <v/>
      </c>
      <c r="AT935">
        <f>HYPERLINK("http://www.worldcat.org/oclc/1749066","WorldCat Record")</f>
        <v/>
      </c>
      <c r="AU935" t="inlineStr">
        <is>
          <t>365172947:eng</t>
        </is>
      </c>
      <c r="AV935" t="inlineStr">
        <is>
          <t>1749066</t>
        </is>
      </c>
      <c r="AW935" t="inlineStr">
        <is>
          <t>991005365369702656</t>
        </is>
      </c>
      <c r="AX935" t="inlineStr">
        <is>
          <t>991005365369702656</t>
        </is>
      </c>
      <c r="AY935" t="inlineStr">
        <is>
          <t>2260819500002656</t>
        </is>
      </c>
      <c r="AZ935" t="inlineStr">
        <is>
          <t>BOOK</t>
        </is>
      </c>
      <c r="BB935" t="inlineStr">
        <is>
          <t>9780471699347</t>
        </is>
      </c>
      <c r="BC935" t="inlineStr">
        <is>
          <t>32285000646389</t>
        </is>
      </c>
      <c r="BD935" t="inlineStr">
        <is>
          <t>893345086</t>
        </is>
      </c>
    </row>
    <row r="936">
      <c r="A936" t="inlineStr">
        <is>
          <t>No</t>
        </is>
      </c>
      <c r="B936" t="inlineStr">
        <is>
          <t>QD453 .A27 v.38</t>
        </is>
      </c>
      <c r="C936" t="inlineStr">
        <is>
          <t>0                      QD 0453000A  27                                                      v.38</t>
        </is>
      </c>
      <c r="D936" t="inlineStr">
        <is>
          <t>For Ilya Prigogine / edited by Stuart A. Rice.</t>
        </is>
      </c>
      <c r="E936" t="inlineStr">
        <is>
          <t>V. 38</t>
        </is>
      </c>
      <c r="F936" t="inlineStr">
        <is>
          <t>No</t>
        </is>
      </c>
      <c r="G936" t="inlineStr">
        <is>
          <t>1</t>
        </is>
      </c>
      <c r="H936" t="inlineStr">
        <is>
          <t>No</t>
        </is>
      </c>
      <c r="I936" t="inlineStr">
        <is>
          <t>No</t>
        </is>
      </c>
      <c r="J936" t="inlineStr">
        <is>
          <t>0</t>
        </is>
      </c>
      <c r="L936" t="inlineStr">
        <is>
          <t>New York : Wiley, c1978.</t>
        </is>
      </c>
      <c r="M936" t="inlineStr">
        <is>
          <t>1978</t>
        </is>
      </c>
      <c r="O936" t="inlineStr">
        <is>
          <t>eng</t>
        </is>
      </c>
      <c r="P936" t="inlineStr">
        <is>
          <t>nyu</t>
        </is>
      </c>
      <c r="Q936" t="inlineStr">
        <is>
          <t>Advances in chemical physics ; v. 38</t>
        </is>
      </c>
      <c r="R936" t="inlineStr">
        <is>
          <t xml:space="preserve">QD </t>
        </is>
      </c>
      <c r="S936" t="n">
        <v>1</v>
      </c>
      <c r="T936" t="n">
        <v>1</v>
      </c>
      <c r="U936" t="inlineStr">
        <is>
          <t>1998-07-30</t>
        </is>
      </c>
      <c r="V936" t="inlineStr">
        <is>
          <t>1998-07-30</t>
        </is>
      </c>
      <c r="W936" t="inlineStr">
        <is>
          <t>1991-09-11</t>
        </is>
      </c>
      <c r="X936" t="inlineStr">
        <is>
          <t>1991-09-11</t>
        </is>
      </c>
      <c r="Y936" t="n">
        <v>165</v>
      </c>
      <c r="Z936" t="n">
        <v>112</v>
      </c>
      <c r="AA936" t="n">
        <v>517</v>
      </c>
      <c r="AB936" t="n">
        <v>1</v>
      </c>
      <c r="AC936" t="n">
        <v>11</v>
      </c>
      <c r="AD936" t="n">
        <v>5</v>
      </c>
      <c r="AE936" t="n">
        <v>28</v>
      </c>
      <c r="AF936" t="n">
        <v>2</v>
      </c>
      <c r="AG936" t="n">
        <v>12</v>
      </c>
      <c r="AH936" t="n">
        <v>1</v>
      </c>
      <c r="AI936" t="n">
        <v>4</v>
      </c>
      <c r="AJ936" t="n">
        <v>4</v>
      </c>
      <c r="AK936" t="n">
        <v>7</v>
      </c>
      <c r="AL936" t="n">
        <v>0</v>
      </c>
      <c r="AM936" t="n">
        <v>9</v>
      </c>
      <c r="AN936" t="n">
        <v>0</v>
      </c>
      <c r="AO936" t="n">
        <v>0</v>
      </c>
      <c r="AP936" t="inlineStr">
        <is>
          <t>No</t>
        </is>
      </c>
      <c r="AQ936" t="inlineStr">
        <is>
          <t>No</t>
        </is>
      </c>
      <c r="AS936">
        <f>HYPERLINK("https://creighton-primo.hosted.exlibrisgroup.com/primo-explore/search?tab=default_tab&amp;search_scope=EVERYTHING&amp;vid=01CRU&amp;lang=en_US&amp;offset=0&amp;query=any,contains,991005374939702656","Catalog Record")</f>
        <v/>
      </c>
      <c r="AT936">
        <f>HYPERLINK("http://www.worldcat.org/oclc/4812574","WorldCat Record")</f>
        <v/>
      </c>
      <c r="AU936" t="inlineStr">
        <is>
          <t>478019437:eng</t>
        </is>
      </c>
      <c r="AV936" t="inlineStr">
        <is>
          <t>4812574</t>
        </is>
      </c>
      <c r="AW936" t="inlineStr">
        <is>
          <t>991005374939702656</t>
        </is>
      </c>
      <c r="AX936" t="inlineStr">
        <is>
          <t>991005374939702656</t>
        </is>
      </c>
      <c r="AY936" t="inlineStr">
        <is>
          <t>2259945620002656</t>
        </is>
      </c>
      <c r="AZ936" t="inlineStr">
        <is>
          <t>BOOK</t>
        </is>
      </c>
      <c r="BB936" t="inlineStr">
        <is>
          <t>9780471038832</t>
        </is>
      </c>
      <c r="BC936" t="inlineStr">
        <is>
          <t>32285000646447</t>
        </is>
      </c>
      <c r="BD936" t="inlineStr">
        <is>
          <t>893890133</t>
        </is>
      </c>
    </row>
    <row r="937">
      <c r="A937" t="inlineStr">
        <is>
          <t>No</t>
        </is>
      </c>
      <c r="B937" t="inlineStr">
        <is>
          <t>QD453 .A27 v.39</t>
        </is>
      </c>
      <c r="C937" t="inlineStr">
        <is>
          <t>0                      QD 0453000A  27                                                      v.39</t>
        </is>
      </c>
      <c r="D937" t="inlineStr">
        <is>
          <t>Molecular movements and chemical reactivity as conditioned by membranes, enzymes, and other macromolecules : XVIth Solvay Conference on Chemistry, Brussels, November 22-November 26, 1976 / edited by R. Lefever and A. Goldbeter.</t>
        </is>
      </c>
      <c r="E937" t="inlineStr">
        <is>
          <t>V. 39</t>
        </is>
      </c>
      <c r="F937" t="inlineStr">
        <is>
          <t>No</t>
        </is>
      </c>
      <c r="G937" t="inlineStr">
        <is>
          <t>1</t>
        </is>
      </c>
      <c r="H937" t="inlineStr">
        <is>
          <t>No</t>
        </is>
      </c>
      <c r="I937" t="inlineStr">
        <is>
          <t>No</t>
        </is>
      </c>
      <c r="J937" t="inlineStr">
        <is>
          <t>0</t>
        </is>
      </c>
      <c r="K937" t="inlineStr">
        <is>
          <t>Solvay Conference on Chemistry (16th : 1976 : Free University of Brussels)</t>
        </is>
      </c>
      <c r="L937" t="inlineStr">
        <is>
          <t>New York : J. Wiley, c1978.</t>
        </is>
      </c>
      <c r="M937" t="inlineStr">
        <is>
          <t>1978</t>
        </is>
      </c>
      <c r="O937" t="inlineStr">
        <is>
          <t>eng</t>
        </is>
      </c>
      <c r="P937" t="inlineStr">
        <is>
          <t>nyu</t>
        </is>
      </c>
      <c r="Q937" t="inlineStr">
        <is>
          <t>Advances in chemical physics ; v. 39</t>
        </is>
      </c>
      <c r="R937" t="inlineStr">
        <is>
          <t xml:space="preserve">QD </t>
        </is>
      </c>
      <c r="S937" t="n">
        <v>3</v>
      </c>
      <c r="T937" t="n">
        <v>3</v>
      </c>
      <c r="U937" t="inlineStr">
        <is>
          <t>1998-07-30</t>
        </is>
      </c>
      <c r="V937" t="inlineStr">
        <is>
          <t>1998-07-30</t>
        </is>
      </c>
      <c r="W937" t="inlineStr">
        <is>
          <t>1991-09-11</t>
        </is>
      </c>
      <c r="X937" t="inlineStr">
        <is>
          <t>1991-09-11</t>
        </is>
      </c>
      <c r="Y937" t="n">
        <v>179</v>
      </c>
      <c r="Z937" t="n">
        <v>142</v>
      </c>
      <c r="AA937" t="n">
        <v>202</v>
      </c>
      <c r="AB937" t="n">
        <v>1</v>
      </c>
      <c r="AC937" t="n">
        <v>1</v>
      </c>
      <c r="AD937" t="n">
        <v>7</v>
      </c>
      <c r="AE937" t="n">
        <v>7</v>
      </c>
      <c r="AF937" t="n">
        <v>2</v>
      </c>
      <c r="AG937" t="n">
        <v>2</v>
      </c>
      <c r="AH937" t="n">
        <v>2</v>
      </c>
      <c r="AI937" t="n">
        <v>2</v>
      </c>
      <c r="AJ937" t="n">
        <v>5</v>
      </c>
      <c r="AK937" t="n">
        <v>5</v>
      </c>
      <c r="AL937" t="n">
        <v>0</v>
      </c>
      <c r="AM937" t="n">
        <v>0</v>
      </c>
      <c r="AN937" t="n">
        <v>0</v>
      </c>
      <c r="AO937" t="n">
        <v>0</v>
      </c>
      <c r="AP937" t="inlineStr">
        <is>
          <t>No</t>
        </is>
      </c>
      <c r="AQ937" t="inlineStr">
        <is>
          <t>No</t>
        </is>
      </c>
      <c r="AS937">
        <f>HYPERLINK("https://creighton-primo.hosted.exlibrisgroup.com/primo-explore/search?tab=default_tab&amp;search_scope=EVERYTHING&amp;vid=01CRU&amp;lang=en_US&amp;offset=0&amp;query=any,contains,991005372389702656","Catalog Record")</f>
        <v/>
      </c>
      <c r="AT937">
        <f>HYPERLINK("http://www.worldcat.org/oclc/4468438","WorldCat Record")</f>
        <v/>
      </c>
      <c r="AU937" t="inlineStr">
        <is>
          <t>807633924:eng</t>
        </is>
      </c>
      <c r="AV937" t="inlineStr">
        <is>
          <t>4468438</t>
        </is>
      </c>
      <c r="AW937" t="inlineStr">
        <is>
          <t>991005372389702656</t>
        </is>
      </c>
      <c r="AX937" t="inlineStr">
        <is>
          <t>991005372389702656</t>
        </is>
      </c>
      <c r="AY937" t="inlineStr">
        <is>
          <t>2255552180002656</t>
        </is>
      </c>
      <c r="AZ937" t="inlineStr">
        <is>
          <t>BOOK</t>
        </is>
      </c>
      <c r="BB937" t="inlineStr">
        <is>
          <t>9780471035411</t>
        </is>
      </c>
      <c r="BC937" t="inlineStr">
        <is>
          <t>32285000646454</t>
        </is>
      </c>
      <c r="BD937" t="inlineStr">
        <is>
          <t>893713981</t>
        </is>
      </c>
    </row>
    <row r="938">
      <c r="A938" t="inlineStr">
        <is>
          <t>No</t>
        </is>
      </c>
      <c r="B938" t="inlineStr">
        <is>
          <t>QD453 .A27 v.42</t>
        </is>
      </c>
      <c r="C938" t="inlineStr">
        <is>
          <t>0                      QD 0453000A  27                                                      v.42</t>
        </is>
      </c>
      <c r="D938" t="inlineStr">
        <is>
          <t>Potential energy surfaces / edited by K. P. Lawley.</t>
        </is>
      </c>
      <c r="E938" t="inlineStr">
        <is>
          <t>V. 42</t>
        </is>
      </c>
      <c r="F938" t="inlineStr">
        <is>
          <t>No</t>
        </is>
      </c>
      <c r="G938" t="inlineStr">
        <is>
          <t>1</t>
        </is>
      </c>
      <c r="H938" t="inlineStr">
        <is>
          <t>No</t>
        </is>
      </c>
      <c r="I938" t="inlineStr">
        <is>
          <t>No</t>
        </is>
      </c>
      <c r="J938" t="inlineStr">
        <is>
          <t>0</t>
        </is>
      </c>
      <c r="L938" t="inlineStr">
        <is>
          <t>Chichester ; New York : Wiley, c1980.</t>
        </is>
      </c>
      <c r="M938" t="inlineStr">
        <is>
          <t>1980</t>
        </is>
      </c>
      <c r="O938" t="inlineStr">
        <is>
          <t>eng</t>
        </is>
      </c>
      <c r="P938" t="inlineStr">
        <is>
          <t>enk</t>
        </is>
      </c>
      <c r="Q938" t="inlineStr">
        <is>
          <t>Advances in chemical physics ; v. 42</t>
        </is>
      </c>
      <c r="R938" t="inlineStr">
        <is>
          <t xml:space="preserve">QD </t>
        </is>
      </c>
      <c r="S938" t="n">
        <v>1</v>
      </c>
      <c r="T938" t="n">
        <v>1</v>
      </c>
      <c r="U938" t="inlineStr">
        <is>
          <t>1998-07-30</t>
        </is>
      </c>
      <c r="V938" t="inlineStr">
        <is>
          <t>1998-07-30</t>
        </is>
      </c>
      <c r="W938" t="inlineStr">
        <is>
          <t>1991-05-30</t>
        </is>
      </c>
      <c r="X938" t="inlineStr">
        <is>
          <t>1991-05-30</t>
        </is>
      </c>
      <c r="Y938" t="n">
        <v>221</v>
      </c>
      <c r="Z938" t="n">
        <v>147</v>
      </c>
      <c r="AA938" t="n">
        <v>209</v>
      </c>
      <c r="AB938" t="n">
        <v>1</v>
      </c>
      <c r="AC938" t="n">
        <v>1</v>
      </c>
      <c r="AD938" t="n">
        <v>6</v>
      </c>
      <c r="AE938" t="n">
        <v>6</v>
      </c>
      <c r="AF938" t="n">
        <v>2</v>
      </c>
      <c r="AG938" t="n">
        <v>2</v>
      </c>
      <c r="AH938" t="n">
        <v>1</v>
      </c>
      <c r="AI938" t="n">
        <v>1</v>
      </c>
      <c r="AJ938" t="n">
        <v>5</v>
      </c>
      <c r="AK938" t="n">
        <v>5</v>
      </c>
      <c r="AL938" t="n">
        <v>0</v>
      </c>
      <c r="AM938" t="n">
        <v>0</v>
      </c>
      <c r="AN938" t="n">
        <v>0</v>
      </c>
      <c r="AO938" t="n">
        <v>0</v>
      </c>
      <c r="AP938" t="inlineStr">
        <is>
          <t>No</t>
        </is>
      </c>
      <c r="AQ938" t="inlineStr">
        <is>
          <t>Yes</t>
        </is>
      </c>
      <c r="AR938">
        <f>HYPERLINK("http://catalog.hathitrust.org/Record/000190917","HathiTrust Record")</f>
        <v/>
      </c>
      <c r="AS938">
        <f>HYPERLINK("https://creighton-primo.hosted.exlibrisgroup.com/primo-explore/search?tab=default_tab&amp;search_scope=EVERYTHING&amp;vid=01CRU&amp;lang=en_US&amp;offset=0&amp;query=any,contains,991005381919702656","Catalog Record")</f>
        <v/>
      </c>
      <c r="AT938">
        <f>HYPERLINK("http://www.worldcat.org/oclc/6333323","WorldCat Record")</f>
        <v/>
      </c>
      <c r="AU938" t="inlineStr">
        <is>
          <t>510279143:eng</t>
        </is>
      </c>
      <c r="AV938" t="inlineStr">
        <is>
          <t>6333323</t>
        </is>
      </c>
      <c r="AW938" t="inlineStr">
        <is>
          <t>991005381919702656</t>
        </is>
      </c>
      <c r="AX938" t="inlineStr">
        <is>
          <t>991005381919702656</t>
        </is>
      </c>
      <c r="AY938" t="inlineStr">
        <is>
          <t>2267131320002656</t>
        </is>
      </c>
      <c r="AZ938" t="inlineStr">
        <is>
          <t>BOOK</t>
        </is>
      </c>
      <c r="BB938" t="inlineStr">
        <is>
          <t>9780471276333</t>
        </is>
      </c>
      <c r="BC938" t="inlineStr">
        <is>
          <t>32285000646488</t>
        </is>
      </c>
      <c r="BD938" t="inlineStr">
        <is>
          <t>893625936</t>
        </is>
      </c>
    </row>
    <row r="939">
      <c r="A939" t="inlineStr">
        <is>
          <t>No</t>
        </is>
      </c>
      <c r="B939" t="inlineStr">
        <is>
          <t>QD453 .A27 v.45</t>
        </is>
      </c>
      <c r="C939" t="inlineStr">
        <is>
          <t>0                      QD 0453000A  27                                                      v.45</t>
        </is>
      </c>
      <c r="D939" t="inlineStr">
        <is>
          <t>The excited state in chemical physics, part 2 / edited by J. Wm. McGowan.</t>
        </is>
      </c>
      <c r="E939" t="inlineStr">
        <is>
          <t>V. 45</t>
        </is>
      </c>
      <c r="F939" t="inlineStr">
        <is>
          <t>No</t>
        </is>
      </c>
      <c r="G939" t="inlineStr">
        <is>
          <t>1</t>
        </is>
      </c>
      <c r="H939" t="inlineStr">
        <is>
          <t>No</t>
        </is>
      </c>
      <c r="I939" t="inlineStr">
        <is>
          <t>No</t>
        </is>
      </c>
      <c r="J939" t="inlineStr">
        <is>
          <t>0</t>
        </is>
      </c>
      <c r="K939" t="inlineStr">
        <is>
          <t>McGowan, J. William (James William), 1931-</t>
        </is>
      </c>
      <c r="L939" t="inlineStr">
        <is>
          <t>New York : Wiley-Interscience, c1981.</t>
        </is>
      </c>
      <c r="M939" t="inlineStr">
        <is>
          <t>1981</t>
        </is>
      </c>
      <c r="O939" t="inlineStr">
        <is>
          <t>eng</t>
        </is>
      </c>
      <c r="P939" t="inlineStr">
        <is>
          <t>nyu</t>
        </is>
      </c>
      <c r="Q939" t="inlineStr">
        <is>
          <t>Advances in chemical physics ; v. 45</t>
        </is>
      </c>
      <c r="R939" t="inlineStr">
        <is>
          <t xml:space="preserve">QD </t>
        </is>
      </c>
      <c r="S939" t="n">
        <v>1</v>
      </c>
      <c r="T939" t="n">
        <v>1</v>
      </c>
      <c r="U939" t="inlineStr">
        <is>
          <t>1998-07-30</t>
        </is>
      </c>
      <c r="V939" t="inlineStr">
        <is>
          <t>1998-07-30</t>
        </is>
      </c>
      <c r="W939" t="inlineStr">
        <is>
          <t>1991-05-30</t>
        </is>
      </c>
      <c r="X939" t="inlineStr">
        <is>
          <t>1991-05-30</t>
        </is>
      </c>
      <c r="Y939" t="n">
        <v>42</v>
      </c>
      <c r="Z939" t="n">
        <v>33</v>
      </c>
      <c r="AA939" t="n">
        <v>88</v>
      </c>
      <c r="AB939" t="n">
        <v>1</v>
      </c>
      <c r="AC939" t="n">
        <v>1</v>
      </c>
      <c r="AD939" t="n">
        <v>1</v>
      </c>
      <c r="AE939" t="n">
        <v>1</v>
      </c>
      <c r="AF939" t="n">
        <v>0</v>
      </c>
      <c r="AG939" t="n">
        <v>0</v>
      </c>
      <c r="AH939" t="n">
        <v>0</v>
      </c>
      <c r="AI939" t="n">
        <v>0</v>
      </c>
      <c r="AJ939" t="n">
        <v>1</v>
      </c>
      <c r="AK939" t="n">
        <v>1</v>
      </c>
      <c r="AL939" t="n">
        <v>0</v>
      </c>
      <c r="AM939" t="n">
        <v>0</v>
      </c>
      <c r="AN939" t="n">
        <v>0</v>
      </c>
      <c r="AO939" t="n">
        <v>0</v>
      </c>
      <c r="AP939" t="inlineStr">
        <is>
          <t>No</t>
        </is>
      </c>
      <c r="AQ939" t="inlineStr">
        <is>
          <t>No</t>
        </is>
      </c>
      <c r="AS939">
        <f>HYPERLINK("https://creighton-primo.hosted.exlibrisgroup.com/primo-explore/search?tab=default_tab&amp;search_scope=EVERYTHING&amp;vid=01CRU&amp;lang=en_US&amp;offset=0&amp;query=any,contains,991005387739702656","Catalog Record")</f>
        <v/>
      </c>
      <c r="AT939">
        <f>HYPERLINK("http://www.worldcat.org/oclc/7470921","WorldCat Record")</f>
        <v/>
      </c>
      <c r="AU939" t="inlineStr">
        <is>
          <t>4764548665:eng</t>
        </is>
      </c>
      <c r="AV939" t="inlineStr">
        <is>
          <t>7470921</t>
        </is>
      </c>
      <c r="AW939" t="inlineStr">
        <is>
          <t>991005387739702656</t>
        </is>
      </c>
      <c r="AX939" t="inlineStr">
        <is>
          <t>991005387739702656</t>
        </is>
      </c>
      <c r="AY939" t="inlineStr">
        <is>
          <t>2266483340002656</t>
        </is>
      </c>
      <c r="AZ939" t="inlineStr">
        <is>
          <t>BOOK</t>
        </is>
      </c>
      <c r="BB939" t="inlineStr">
        <is>
          <t>9780471051190</t>
        </is>
      </c>
      <c r="BC939" t="inlineStr">
        <is>
          <t>32285000646512</t>
        </is>
      </c>
      <c r="BD939" t="inlineStr">
        <is>
          <t>893351200</t>
        </is>
      </c>
    </row>
    <row r="940">
      <c r="A940" t="inlineStr">
        <is>
          <t>No</t>
        </is>
      </c>
      <c r="B940" t="inlineStr">
        <is>
          <t>QD453 .A27 v.47</t>
        </is>
      </c>
      <c r="C940" t="inlineStr">
        <is>
          <t>0                      QD 0453000A  27                                                      v.47</t>
        </is>
      </c>
      <c r="D940" t="inlineStr">
        <is>
          <t>Photoselective chemistry / edited by Joshua Jortner, Raphael D. Levine, Stuart A. Rice.</t>
        </is>
      </c>
      <c r="E940" t="inlineStr">
        <is>
          <t>V. 47 PT. 1</t>
        </is>
      </c>
      <c r="F940" t="inlineStr">
        <is>
          <t>Yes</t>
        </is>
      </c>
      <c r="G940" t="inlineStr">
        <is>
          <t>1</t>
        </is>
      </c>
      <c r="H940" t="inlineStr">
        <is>
          <t>No</t>
        </is>
      </c>
      <c r="I940" t="inlineStr">
        <is>
          <t>No</t>
        </is>
      </c>
      <c r="J940" t="inlineStr">
        <is>
          <t>0</t>
        </is>
      </c>
      <c r="L940" t="inlineStr">
        <is>
          <t>New York : Wiley ; 1981.</t>
        </is>
      </c>
      <c r="M940" t="inlineStr">
        <is>
          <t>1981</t>
        </is>
      </c>
      <c r="O940" t="inlineStr">
        <is>
          <t>eng</t>
        </is>
      </c>
      <c r="P940" t="inlineStr">
        <is>
          <t>nyu</t>
        </is>
      </c>
      <c r="Q940" t="inlineStr">
        <is>
          <t>Advances in chemical physics ; v. 47</t>
        </is>
      </c>
      <c r="R940" t="inlineStr">
        <is>
          <t xml:space="preserve">QD </t>
        </is>
      </c>
      <c r="S940" t="n">
        <v>1</v>
      </c>
      <c r="T940" t="n">
        <v>2</v>
      </c>
      <c r="U940" t="inlineStr">
        <is>
          <t>1998-07-30</t>
        </is>
      </c>
      <c r="V940" t="inlineStr">
        <is>
          <t>1998-07-30</t>
        </is>
      </c>
      <c r="W940" t="inlineStr">
        <is>
          <t>1991-05-30</t>
        </is>
      </c>
      <c r="X940" t="inlineStr">
        <is>
          <t>1991-05-30</t>
        </is>
      </c>
      <c r="Y940" t="n">
        <v>190</v>
      </c>
      <c r="Z940" t="n">
        <v>143</v>
      </c>
      <c r="AA940" t="n">
        <v>190</v>
      </c>
      <c r="AB940" t="n">
        <v>1</v>
      </c>
      <c r="AC940" t="n">
        <v>1</v>
      </c>
      <c r="AD940" t="n">
        <v>7</v>
      </c>
      <c r="AE940" t="n">
        <v>7</v>
      </c>
      <c r="AF940" t="n">
        <v>2</v>
      </c>
      <c r="AG940" t="n">
        <v>2</v>
      </c>
      <c r="AH940" t="n">
        <v>2</v>
      </c>
      <c r="AI940" t="n">
        <v>2</v>
      </c>
      <c r="AJ940" t="n">
        <v>5</v>
      </c>
      <c r="AK940" t="n">
        <v>5</v>
      </c>
      <c r="AL940" t="n">
        <v>0</v>
      </c>
      <c r="AM940" t="n">
        <v>0</v>
      </c>
      <c r="AN940" t="n">
        <v>0</v>
      </c>
      <c r="AO940" t="n">
        <v>0</v>
      </c>
      <c r="AP940" t="inlineStr">
        <is>
          <t>No</t>
        </is>
      </c>
      <c r="AQ940" t="inlineStr">
        <is>
          <t>No</t>
        </is>
      </c>
      <c r="AS940">
        <f>HYPERLINK("https://creighton-primo.hosted.exlibrisgroup.com/primo-explore/search?tab=default_tab&amp;search_scope=EVERYTHING&amp;vid=01CRU&amp;lang=en_US&amp;offset=0&amp;query=any,contains,991005387649702656","Catalog Record")</f>
        <v/>
      </c>
      <c r="AT940">
        <f>HYPERLINK("http://www.worldcat.org/oclc/7947323","WorldCat Record")</f>
        <v/>
      </c>
      <c r="AU940" t="inlineStr">
        <is>
          <t>3377344267:eng</t>
        </is>
      </c>
      <c r="AV940" t="inlineStr">
        <is>
          <t>7947323</t>
        </is>
      </c>
      <c r="AW940" t="inlineStr">
        <is>
          <t>991005387649702656</t>
        </is>
      </c>
      <c r="AX940" t="inlineStr">
        <is>
          <t>991005387649702656</t>
        </is>
      </c>
      <c r="AY940" t="inlineStr">
        <is>
          <t>2261629780002656</t>
        </is>
      </c>
      <c r="AZ940" t="inlineStr">
        <is>
          <t>BOOK</t>
        </is>
      </c>
      <c r="BB940" t="inlineStr">
        <is>
          <t>9780471062745</t>
        </is>
      </c>
      <c r="BC940" t="inlineStr">
        <is>
          <t>32285000646538</t>
        </is>
      </c>
      <c r="BD940" t="inlineStr">
        <is>
          <t>893351199</t>
        </is>
      </c>
    </row>
    <row r="941">
      <c r="A941" t="inlineStr">
        <is>
          <t>No</t>
        </is>
      </c>
      <c r="B941" t="inlineStr">
        <is>
          <t>QD453 .A27 v.47</t>
        </is>
      </c>
      <c r="C941" t="inlineStr">
        <is>
          <t>0                      QD 0453000A  27                                                      v.47</t>
        </is>
      </c>
      <c r="D941" t="inlineStr">
        <is>
          <t>Photoselective chemistry / edited by Joshua Jortner, Raphael D. Levine, Stuart A. Rice.</t>
        </is>
      </c>
      <c r="E941" t="inlineStr">
        <is>
          <t>V. 47 PT. 2</t>
        </is>
      </c>
      <c r="F941" t="inlineStr">
        <is>
          <t>Yes</t>
        </is>
      </c>
      <c r="G941" t="inlineStr">
        <is>
          <t>1</t>
        </is>
      </c>
      <c r="H941" t="inlineStr">
        <is>
          <t>No</t>
        </is>
      </c>
      <c r="I941" t="inlineStr">
        <is>
          <t>No</t>
        </is>
      </c>
      <c r="J941" t="inlineStr">
        <is>
          <t>0</t>
        </is>
      </c>
      <c r="L941" t="inlineStr">
        <is>
          <t>New York : Wiley ; 1981.</t>
        </is>
      </c>
      <c r="M941" t="inlineStr">
        <is>
          <t>1981</t>
        </is>
      </c>
      <c r="O941" t="inlineStr">
        <is>
          <t>eng</t>
        </is>
      </c>
      <c r="P941" t="inlineStr">
        <is>
          <t>nyu</t>
        </is>
      </c>
      <c r="Q941" t="inlineStr">
        <is>
          <t>Advances in chemical physics ; v. 47</t>
        </is>
      </c>
      <c r="R941" t="inlineStr">
        <is>
          <t xml:space="preserve">QD </t>
        </is>
      </c>
      <c r="S941" t="n">
        <v>1</v>
      </c>
      <c r="T941" t="n">
        <v>2</v>
      </c>
      <c r="U941" t="inlineStr">
        <is>
          <t>1998-07-30</t>
        </is>
      </c>
      <c r="V941" t="inlineStr">
        <is>
          <t>1998-07-30</t>
        </is>
      </c>
      <c r="W941" t="inlineStr">
        <is>
          <t>1991-05-30</t>
        </is>
      </c>
      <c r="X941" t="inlineStr">
        <is>
          <t>1991-05-30</t>
        </is>
      </c>
      <c r="Y941" t="n">
        <v>190</v>
      </c>
      <c r="Z941" t="n">
        <v>143</v>
      </c>
      <c r="AA941" t="n">
        <v>190</v>
      </c>
      <c r="AB941" t="n">
        <v>1</v>
      </c>
      <c r="AC941" t="n">
        <v>1</v>
      </c>
      <c r="AD941" t="n">
        <v>7</v>
      </c>
      <c r="AE941" t="n">
        <v>7</v>
      </c>
      <c r="AF941" t="n">
        <v>2</v>
      </c>
      <c r="AG941" t="n">
        <v>2</v>
      </c>
      <c r="AH941" t="n">
        <v>2</v>
      </c>
      <c r="AI941" t="n">
        <v>2</v>
      </c>
      <c r="AJ941" t="n">
        <v>5</v>
      </c>
      <c r="AK941" t="n">
        <v>5</v>
      </c>
      <c r="AL941" t="n">
        <v>0</v>
      </c>
      <c r="AM941" t="n">
        <v>0</v>
      </c>
      <c r="AN941" t="n">
        <v>0</v>
      </c>
      <c r="AO941" t="n">
        <v>0</v>
      </c>
      <c r="AP941" t="inlineStr">
        <is>
          <t>No</t>
        </is>
      </c>
      <c r="AQ941" t="inlineStr">
        <is>
          <t>No</t>
        </is>
      </c>
      <c r="AS941">
        <f>HYPERLINK("https://creighton-primo.hosted.exlibrisgroup.com/primo-explore/search?tab=default_tab&amp;search_scope=EVERYTHING&amp;vid=01CRU&amp;lang=en_US&amp;offset=0&amp;query=any,contains,991005387649702656","Catalog Record")</f>
        <v/>
      </c>
      <c r="AT941">
        <f>HYPERLINK("http://www.worldcat.org/oclc/7947323","WorldCat Record")</f>
        <v/>
      </c>
      <c r="AU941" t="inlineStr">
        <is>
          <t>3377344267:eng</t>
        </is>
      </c>
      <c r="AV941" t="inlineStr">
        <is>
          <t>7947323</t>
        </is>
      </c>
      <c r="AW941" t="inlineStr">
        <is>
          <t>991005387649702656</t>
        </is>
      </c>
      <c r="AX941" t="inlineStr">
        <is>
          <t>991005387649702656</t>
        </is>
      </c>
      <c r="AY941" t="inlineStr">
        <is>
          <t>2261629780002656</t>
        </is>
      </c>
      <c r="AZ941" t="inlineStr">
        <is>
          <t>BOOK</t>
        </is>
      </c>
      <c r="BB941" t="inlineStr">
        <is>
          <t>9780471062745</t>
        </is>
      </c>
      <c r="BC941" t="inlineStr">
        <is>
          <t>32285000646546</t>
        </is>
      </c>
      <c r="BD941" t="inlineStr">
        <is>
          <t>893345123</t>
        </is>
      </c>
    </row>
    <row r="942">
      <c r="A942" t="inlineStr">
        <is>
          <t>No</t>
        </is>
      </c>
      <c r="B942" t="inlineStr">
        <is>
          <t>QD453 .A27 v.50</t>
        </is>
      </c>
      <c r="C942" t="inlineStr">
        <is>
          <t>0                      QD 0453000A  27                                                      v.50</t>
        </is>
      </c>
      <c r="D942" t="inlineStr">
        <is>
          <t>Dynamics of the excited state / edited by K. P. Lawley.</t>
        </is>
      </c>
      <c r="E942" t="inlineStr">
        <is>
          <t>V. 50</t>
        </is>
      </c>
      <c r="F942" t="inlineStr">
        <is>
          <t>No</t>
        </is>
      </c>
      <c r="G942" t="inlineStr">
        <is>
          <t>1</t>
        </is>
      </c>
      <c r="H942" t="inlineStr">
        <is>
          <t>No</t>
        </is>
      </c>
      <c r="I942" t="inlineStr">
        <is>
          <t>No</t>
        </is>
      </c>
      <c r="J942" t="inlineStr">
        <is>
          <t>0</t>
        </is>
      </c>
      <c r="L942" t="inlineStr">
        <is>
          <t>Chichester, Eng. ; New York : J. Wiley, 1982.</t>
        </is>
      </c>
      <c r="M942" t="inlineStr">
        <is>
          <t>1982</t>
        </is>
      </c>
      <c r="O942" t="inlineStr">
        <is>
          <t>eng</t>
        </is>
      </c>
      <c r="P942" t="inlineStr">
        <is>
          <t>enk</t>
        </is>
      </c>
      <c r="Q942" t="inlineStr">
        <is>
          <t>Advances in chemical physics ; v. 50</t>
        </is>
      </c>
      <c r="R942" t="inlineStr">
        <is>
          <t xml:space="preserve">QD </t>
        </is>
      </c>
      <c r="S942" t="n">
        <v>1</v>
      </c>
      <c r="T942" t="n">
        <v>1</v>
      </c>
      <c r="U942" t="inlineStr">
        <is>
          <t>1998-07-30</t>
        </is>
      </c>
      <c r="V942" t="inlineStr">
        <is>
          <t>1998-07-30</t>
        </is>
      </c>
      <c r="W942" t="inlineStr">
        <is>
          <t>1991-09-11</t>
        </is>
      </c>
      <c r="X942" t="inlineStr">
        <is>
          <t>1991-09-11</t>
        </is>
      </c>
      <c r="Y942" t="n">
        <v>205</v>
      </c>
      <c r="Z942" t="n">
        <v>142</v>
      </c>
      <c r="AA942" t="n">
        <v>147</v>
      </c>
      <c r="AB942" t="n">
        <v>1</v>
      </c>
      <c r="AC942" t="n">
        <v>1</v>
      </c>
      <c r="AD942" t="n">
        <v>7</v>
      </c>
      <c r="AE942" t="n">
        <v>7</v>
      </c>
      <c r="AF942" t="n">
        <v>2</v>
      </c>
      <c r="AG942" t="n">
        <v>2</v>
      </c>
      <c r="AH942" t="n">
        <v>2</v>
      </c>
      <c r="AI942" t="n">
        <v>2</v>
      </c>
      <c r="AJ942" t="n">
        <v>5</v>
      </c>
      <c r="AK942" t="n">
        <v>5</v>
      </c>
      <c r="AL942" t="n">
        <v>0</v>
      </c>
      <c r="AM942" t="n">
        <v>0</v>
      </c>
      <c r="AN942" t="n">
        <v>0</v>
      </c>
      <c r="AO942" t="n">
        <v>0</v>
      </c>
      <c r="AP942" t="inlineStr">
        <is>
          <t>No</t>
        </is>
      </c>
      <c r="AQ942" t="inlineStr">
        <is>
          <t>No</t>
        </is>
      </c>
      <c r="AS942">
        <f>HYPERLINK("https://creighton-primo.hosted.exlibrisgroup.com/primo-explore/search?tab=default_tab&amp;search_scope=EVERYTHING&amp;vid=01CRU&amp;lang=en_US&amp;offset=0&amp;query=any,contains,991005398449702656","Catalog Record")</f>
        <v/>
      </c>
      <c r="AT942">
        <f>HYPERLINK("http://www.worldcat.org/oclc/8774057","WorldCat Record")</f>
        <v/>
      </c>
      <c r="AU942" t="inlineStr">
        <is>
          <t>766779382:eng</t>
        </is>
      </c>
      <c r="AV942" t="inlineStr">
        <is>
          <t>8774057</t>
        </is>
      </c>
      <c r="AW942" t="inlineStr">
        <is>
          <t>991005398449702656</t>
        </is>
      </c>
      <c r="AX942" t="inlineStr">
        <is>
          <t>991005398449702656</t>
        </is>
      </c>
      <c r="AY942" t="inlineStr">
        <is>
          <t>2269020890002656</t>
        </is>
      </c>
      <c r="AZ942" t="inlineStr">
        <is>
          <t>BOOK</t>
        </is>
      </c>
      <c r="BB942" t="inlineStr">
        <is>
          <t>9780471100591</t>
        </is>
      </c>
      <c r="BC942" t="inlineStr">
        <is>
          <t>32285000646579</t>
        </is>
      </c>
      <c r="BD942" t="inlineStr">
        <is>
          <t>893613646</t>
        </is>
      </c>
    </row>
    <row r="943">
      <c r="A943" t="inlineStr">
        <is>
          <t>No</t>
        </is>
      </c>
      <c r="B943" t="inlineStr">
        <is>
          <t>QD453 .A27 v.55</t>
        </is>
      </c>
      <c r="C943" t="inlineStr">
        <is>
          <t>0                      QD 0453000A  27                                                      v.55</t>
        </is>
      </c>
      <c r="D943" t="inlineStr">
        <is>
          <t>Aspects of chemical evolution : XVIIth Solvay Conference on Chemistry, Washington, D.C., April 23-April 24, 1980 / edited by G. Nicolis.</t>
        </is>
      </c>
      <c r="E943" t="inlineStr">
        <is>
          <t>V. 55</t>
        </is>
      </c>
      <c r="F943" t="inlineStr">
        <is>
          <t>No</t>
        </is>
      </c>
      <c r="G943" t="inlineStr">
        <is>
          <t>1</t>
        </is>
      </c>
      <c r="H943" t="inlineStr">
        <is>
          <t>No</t>
        </is>
      </c>
      <c r="I943" t="inlineStr">
        <is>
          <t>No</t>
        </is>
      </c>
      <c r="J943" t="inlineStr">
        <is>
          <t>0</t>
        </is>
      </c>
      <c r="K943" t="inlineStr">
        <is>
          <t>Solvay Conference on Chemistry (17th : 1980 : Washington, D.C.)</t>
        </is>
      </c>
      <c r="L943" t="inlineStr">
        <is>
          <t>New York : Wiley, c1984.</t>
        </is>
      </c>
      <c r="M943" t="inlineStr">
        <is>
          <t>1984</t>
        </is>
      </c>
      <c r="O943" t="inlineStr">
        <is>
          <t>eng</t>
        </is>
      </c>
      <c r="P943" t="inlineStr">
        <is>
          <t>nyu</t>
        </is>
      </c>
      <c r="Q943" t="inlineStr">
        <is>
          <t>Advances in chemical physics ; v. 55</t>
        </is>
      </c>
      <c r="R943" t="inlineStr">
        <is>
          <t xml:space="preserve">QD </t>
        </is>
      </c>
      <c r="S943" t="n">
        <v>1</v>
      </c>
      <c r="T943" t="n">
        <v>1</v>
      </c>
      <c r="U943" t="inlineStr">
        <is>
          <t>1998-07-30</t>
        </is>
      </c>
      <c r="V943" t="inlineStr">
        <is>
          <t>1998-07-30</t>
        </is>
      </c>
      <c r="W943" t="inlineStr">
        <is>
          <t>1991-09-11</t>
        </is>
      </c>
      <c r="X943" t="inlineStr">
        <is>
          <t>1991-09-11</t>
        </is>
      </c>
      <c r="Y943" t="n">
        <v>203</v>
      </c>
      <c r="Z943" t="n">
        <v>155</v>
      </c>
      <c r="AA943" t="n">
        <v>207</v>
      </c>
      <c r="AB943" t="n">
        <v>1</v>
      </c>
      <c r="AC943" t="n">
        <v>1</v>
      </c>
      <c r="AD943" t="n">
        <v>10</v>
      </c>
      <c r="AE943" t="n">
        <v>10</v>
      </c>
      <c r="AF943" t="n">
        <v>2</v>
      </c>
      <c r="AG943" t="n">
        <v>2</v>
      </c>
      <c r="AH943" t="n">
        <v>3</v>
      </c>
      <c r="AI943" t="n">
        <v>3</v>
      </c>
      <c r="AJ943" t="n">
        <v>6</v>
      </c>
      <c r="AK943" t="n">
        <v>6</v>
      </c>
      <c r="AL943" t="n">
        <v>0</v>
      </c>
      <c r="AM943" t="n">
        <v>0</v>
      </c>
      <c r="AN943" t="n">
        <v>0</v>
      </c>
      <c r="AO943" t="n">
        <v>0</v>
      </c>
      <c r="AP943" t="inlineStr">
        <is>
          <t>No</t>
        </is>
      </c>
      <c r="AQ943" t="inlineStr">
        <is>
          <t>No</t>
        </is>
      </c>
      <c r="AS943">
        <f>HYPERLINK("https://creighton-primo.hosted.exlibrisgroup.com/primo-explore/search?tab=default_tab&amp;search_scope=EVERYTHING&amp;vid=01CRU&amp;lang=en_US&amp;offset=0&amp;query=any,contains,991005403139702656","Catalog Record")</f>
        <v/>
      </c>
      <c r="AT943">
        <f>HYPERLINK("http://www.worldcat.org/oclc/9644895","WorldCat Record")</f>
        <v/>
      </c>
      <c r="AU943" t="inlineStr">
        <is>
          <t>808263932:eng</t>
        </is>
      </c>
      <c r="AV943" t="inlineStr">
        <is>
          <t>9644895</t>
        </is>
      </c>
      <c r="AW943" t="inlineStr">
        <is>
          <t>991005403139702656</t>
        </is>
      </c>
      <c r="AX943" t="inlineStr">
        <is>
          <t>991005403139702656</t>
        </is>
      </c>
      <c r="AY943" t="inlineStr">
        <is>
          <t>2267150450002656</t>
        </is>
      </c>
      <c r="AZ943" t="inlineStr">
        <is>
          <t>BOOK</t>
        </is>
      </c>
      <c r="BB943" t="inlineStr">
        <is>
          <t>9780471884057</t>
        </is>
      </c>
      <c r="BC943" t="inlineStr">
        <is>
          <t>32285000646629</t>
        </is>
      </c>
      <c r="BD943" t="inlineStr">
        <is>
          <t>893802247</t>
        </is>
      </c>
    </row>
    <row r="944">
      <c r="A944" t="inlineStr">
        <is>
          <t>No</t>
        </is>
      </c>
      <c r="B944" t="inlineStr">
        <is>
          <t>QD453 .A27 v.60</t>
        </is>
      </c>
      <c r="C944" t="inlineStr">
        <is>
          <t>0                      QD 0453000A  27                                                      v.60</t>
        </is>
      </c>
      <c r="D944" t="inlineStr">
        <is>
          <t>Photodissociation and photoionization / edited by K.P. Lawley.</t>
        </is>
      </c>
      <c r="E944" t="inlineStr">
        <is>
          <t>V. 60</t>
        </is>
      </c>
      <c r="F944" t="inlineStr">
        <is>
          <t>No</t>
        </is>
      </c>
      <c r="G944" t="inlineStr">
        <is>
          <t>1</t>
        </is>
      </c>
      <c r="H944" t="inlineStr">
        <is>
          <t>No</t>
        </is>
      </c>
      <c r="I944" t="inlineStr">
        <is>
          <t>No</t>
        </is>
      </c>
      <c r="J944" t="inlineStr">
        <is>
          <t>0</t>
        </is>
      </c>
      <c r="L944" t="inlineStr">
        <is>
          <t>Chichester [West Sussex] ; New York : Wiley, c1985.</t>
        </is>
      </c>
      <c r="M944" t="inlineStr">
        <is>
          <t>1985</t>
        </is>
      </c>
      <c r="O944" t="inlineStr">
        <is>
          <t>eng</t>
        </is>
      </c>
      <c r="P944" t="inlineStr">
        <is>
          <t>enk</t>
        </is>
      </c>
      <c r="Q944" t="inlineStr">
        <is>
          <t>Advances in chemical physics ; v. 60</t>
        </is>
      </c>
      <c r="R944" t="inlineStr">
        <is>
          <t xml:space="preserve">QD </t>
        </is>
      </c>
      <c r="S944" t="n">
        <v>1</v>
      </c>
      <c r="T944" t="n">
        <v>1</v>
      </c>
      <c r="U944" t="inlineStr">
        <is>
          <t>1998-07-30</t>
        </is>
      </c>
      <c r="V944" t="inlineStr">
        <is>
          <t>1998-07-30</t>
        </is>
      </c>
      <c r="W944" t="inlineStr">
        <is>
          <t>1991-05-30</t>
        </is>
      </c>
      <c r="X944" t="inlineStr">
        <is>
          <t>1991-05-30</t>
        </is>
      </c>
      <c r="Y944" t="n">
        <v>213</v>
      </c>
      <c r="Z944" t="n">
        <v>148</v>
      </c>
      <c r="AA944" t="n">
        <v>153</v>
      </c>
      <c r="AB944" t="n">
        <v>1</v>
      </c>
      <c r="AC944" t="n">
        <v>1</v>
      </c>
      <c r="AD944" t="n">
        <v>6</v>
      </c>
      <c r="AE944" t="n">
        <v>6</v>
      </c>
      <c r="AF944" t="n">
        <v>2</v>
      </c>
      <c r="AG944" t="n">
        <v>2</v>
      </c>
      <c r="AH944" t="n">
        <v>2</v>
      </c>
      <c r="AI944" t="n">
        <v>2</v>
      </c>
      <c r="AJ944" t="n">
        <v>4</v>
      </c>
      <c r="AK944" t="n">
        <v>4</v>
      </c>
      <c r="AL944" t="n">
        <v>0</v>
      </c>
      <c r="AM944" t="n">
        <v>0</v>
      </c>
      <c r="AN944" t="n">
        <v>0</v>
      </c>
      <c r="AO944" t="n">
        <v>0</v>
      </c>
      <c r="AP944" t="inlineStr">
        <is>
          <t>No</t>
        </is>
      </c>
      <c r="AQ944" t="inlineStr">
        <is>
          <t>No</t>
        </is>
      </c>
      <c r="AS944">
        <f>HYPERLINK("https://creighton-primo.hosted.exlibrisgroup.com/primo-explore/search?tab=default_tab&amp;search_scope=EVERYTHING&amp;vid=01CRU&amp;lang=en_US&amp;offset=0&amp;query=any,contains,991005404389702656","Catalog Record")</f>
        <v/>
      </c>
      <c r="AT944">
        <f>HYPERLINK("http://www.worldcat.org/oclc/11069002","WorldCat Record")</f>
        <v/>
      </c>
      <c r="AU944" t="inlineStr">
        <is>
          <t>766779418:eng</t>
        </is>
      </c>
      <c r="AV944" t="inlineStr">
        <is>
          <t>11069002</t>
        </is>
      </c>
      <c r="AW944" t="inlineStr">
        <is>
          <t>991005404389702656</t>
        </is>
      </c>
      <c r="AX944" t="inlineStr">
        <is>
          <t>991005404389702656</t>
        </is>
      </c>
      <c r="AY944" t="inlineStr">
        <is>
          <t>2260138700002656</t>
        </is>
      </c>
      <c r="AZ944" t="inlineStr">
        <is>
          <t>BOOK</t>
        </is>
      </c>
      <c r="BB944" t="inlineStr">
        <is>
          <t>9780471902119</t>
        </is>
      </c>
      <c r="BC944" t="inlineStr">
        <is>
          <t>32285000646678</t>
        </is>
      </c>
      <c r="BD944" t="inlineStr">
        <is>
          <t>893446887</t>
        </is>
      </c>
    </row>
    <row r="945">
      <c r="A945" t="inlineStr">
        <is>
          <t>No</t>
        </is>
      </c>
      <c r="B945" t="inlineStr">
        <is>
          <t>QD453 .A27 v.62</t>
        </is>
      </c>
      <c r="C945" t="inlineStr">
        <is>
          <t>0                      QD 0453000A  27                                                      v.62</t>
        </is>
      </c>
      <c r="D945" t="inlineStr">
        <is>
          <t>Memory function approaches to stochastic problems in condensed matter / edited by Myron W. Evans, Paolo Grigolini, Giuseppe Pastori Parravicini.</t>
        </is>
      </c>
      <c r="E945" t="inlineStr">
        <is>
          <t>V. 62</t>
        </is>
      </c>
      <c r="F945" t="inlineStr">
        <is>
          <t>No</t>
        </is>
      </c>
      <c r="G945" t="inlineStr">
        <is>
          <t>1</t>
        </is>
      </c>
      <c r="H945" t="inlineStr">
        <is>
          <t>No</t>
        </is>
      </c>
      <c r="I945" t="inlineStr">
        <is>
          <t>No</t>
        </is>
      </c>
      <c r="J945" t="inlineStr">
        <is>
          <t>0</t>
        </is>
      </c>
      <c r="L945" t="inlineStr">
        <is>
          <t>New York : Wiley, c1985.</t>
        </is>
      </c>
      <c r="M945" t="inlineStr">
        <is>
          <t>1985</t>
        </is>
      </c>
      <c r="O945" t="inlineStr">
        <is>
          <t>eng</t>
        </is>
      </c>
      <c r="P945" t="inlineStr">
        <is>
          <t>nyu</t>
        </is>
      </c>
      <c r="Q945" t="inlineStr">
        <is>
          <t>Advances in chemical physics ; v. 62</t>
        </is>
      </c>
      <c r="R945" t="inlineStr">
        <is>
          <t xml:space="preserve">QD </t>
        </is>
      </c>
      <c r="S945" t="n">
        <v>1</v>
      </c>
      <c r="T945" t="n">
        <v>1</v>
      </c>
      <c r="U945" t="inlineStr">
        <is>
          <t>1998-07-30</t>
        </is>
      </c>
      <c r="V945" t="inlineStr">
        <is>
          <t>1998-07-30</t>
        </is>
      </c>
      <c r="W945" t="inlineStr">
        <is>
          <t>1991-05-30</t>
        </is>
      </c>
      <c r="X945" t="inlineStr">
        <is>
          <t>1991-05-30</t>
        </is>
      </c>
      <c r="Y945" t="n">
        <v>211</v>
      </c>
      <c r="Z945" t="n">
        <v>149</v>
      </c>
      <c r="AA945" t="n">
        <v>211</v>
      </c>
      <c r="AB945" t="n">
        <v>1</v>
      </c>
      <c r="AC945" t="n">
        <v>1</v>
      </c>
      <c r="AD945" t="n">
        <v>7</v>
      </c>
      <c r="AE945" t="n">
        <v>7</v>
      </c>
      <c r="AF945" t="n">
        <v>2</v>
      </c>
      <c r="AG945" t="n">
        <v>2</v>
      </c>
      <c r="AH945" t="n">
        <v>2</v>
      </c>
      <c r="AI945" t="n">
        <v>2</v>
      </c>
      <c r="AJ945" t="n">
        <v>5</v>
      </c>
      <c r="AK945" t="n">
        <v>5</v>
      </c>
      <c r="AL945" t="n">
        <v>0</v>
      </c>
      <c r="AM945" t="n">
        <v>0</v>
      </c>
      <c r="AN945" t="n">
        <v>0</v>
      </c>
      <c r="AO945" t="n">
        <v>0</v>
      </c>
      <c r="AP945" t="inlineStr">
        <is>
          <t>No</t>
        </is>
      </c>
      <c r="AQ945" t="inlineStr">
        <is>
          <t>Yes</t>
        </is>
      </c>
      <c r="AR945">
        <f>HYPERLINK("http://catalog.hathitrust.org/Record/000421097","HathiTrust Record")</f>
        <v/>
      </c>
      <c r="AS945">
        <f>HYPERLINK("https://creighton-primo.hosted.exlibrisgroup.com/primo-explore/search?tab=default_tab&amp;search_scope=EVERYTHING&amp;vid=01CRU&amp;lang=en_US&amp;offset=0&amp;query=any,contains,991005405149702656","Catalog Record")</f>
        <v/>
      </c>
      <c r="AT945">
        <f>HYPERLINK("http://www.worldcat.org/oclc/11867233","WorldCat Record")</f>
        <v/>
      </c>
      <c r="AU945" t="inlineStr">
        <is>
          <t>766778537:eng</t>
        </is>
      </c>
      <c r="AV945" t="inlineStr">
        <is>
          <t>11867233</t>
        </is>
      </c>
      <c r="AW945" t="inlineStr">
        <is>
          <t>991005405149702656</t>
        </is>
      </c>
      <c r="AX945" t="inlineStr">
        <is>
          <t>991005405149702656</t>
        </is>
      </c>
      <c r="AY945" t="inlineStr">
        <is>
          <t>2262737220002656</t>
        </is>
      </c>
      <c r="AZ945" t="inlineStr">
        <is>
          <t>BOOK</t>
        </is>
      </c>
      <c r="BB945" t="inlineStr">
        <is>
          <t>9780471804826</t>
        </is>
      </c>
      <c r="BC945" t="inlineStr">
        <is>
          <t>32285000646694</t>
        </is>
      </c>
      <c r="BD945" t="inlineStr">
        <is>
          <t>893536633</t>
        </is>
      </c>
    </row>
    <row r="946">
      <c r="A946" t="inlineStr">
        <is>
          <t>No</t>
        </is>
      </c>
      <c r="B946" t="inlineStr">
        <is>
          <t>QD453 .A27 v.63</t>
        </is>
      </c>
      <c r="C946" t="inlineStr">
        <is>
          <t>0                      QD 0453000A  27                                                      v.63</t>
        </is>
      </c>
      <c r="D946" t="inlineStr">
        <is>
          <t>Dynamical processes in condensed matter / edited by Myron W. Evans.</t>
        </is>
      </c>
      <c r="E946" t="inlineStr">
        <is>
          <t>V. 63</t>
        </is>
      </c>
      <c r="F946" t="inlineStr">
        <is>
          <t>No</t>
        </is>
      </c>
      <c r="G946" t="inlineStr">
        <is>
          <t>1</t>
        </is>
      </c>
      <c r="H946" t="inlineStr">
        <is>
          <t>No</t>
        </is>
      </c>
      <c r="I946" t="inlineStr">
        <is>
          <t>No</t>
        </is>
      </c>
      <c r="J946" t="inlineStr">
        <is>
          <t>0</t>
        </is>
      </c>
      <c r="L946" t="inlineStr">
        <is>
          <t>New York : Wiley, c1985.</t>
        </is>
      </c>
      <c r="M946" t="inlineStr">
        <is>
          <t>1985</t>
        </is>
      </c>
      <c r="O946" t="inlineStr">
        <is>
          <t>eng</t>
        </is>
      </c>
      <c r="P946" t="inlineStr">
        <is>
          <t>nyu</t>
        </is>
      </c>
      <c r="Q946" t="inlineStr">
        <is>
          <t>Advances in chemical physics ; v. 63</t>
        </is>
      </c>
      <c r="R946" t="inlineStr">
        <is>
          <t xml:space="preserve">QD </t>
        </is>
      </c>
      <c r="S946" t="n">
        <v>1</v>
      </c>
      <c r="T946" t="n">
        <v>1</v>
      </c>
      <c r="U946" t="inlineStr">
        <is>
          <t>1998-07-30</t>
        </is>
      </c>
      <c r="V946" t="inlineStr">
        <is>
          <t>1998-07-30</t>
        </is>
      </c>
      <c r="W946" t="inlineStr">
        <is>
          <t>1991-05-30</t>
        </is>
      </c>
      <c r="X946" t="inlineStr">
        <is>
          <t>1991-05-30</t>
        </is>
      </c>
      <c r="Y946" t="n">
        <v>219</v>
      </c>
      <c r="Z946" t="n">
        <v>145</v>
      </c>
      <c r="AA946" t="n">
        <v>194</v>
      </c>
      <c r="AB946" t="n">
        <v>1</v>
      </c>
      <c r="AC946" t="n">
        <v>1</v>
      </c>
      <c r="AD946" t="n">
        <v>8</v>
      </c>
      <c r="AE946" t="n">
        <v>8</v>
      </c>
      <c r="AF946" t="n">
        <v>2</v>
      </c>
      <c r="AG946" t="n">
        <v>2</v>
      </c>
      <c r="AH946" t="n">
        <v>3</v>
      </c>
      <c r="AI946" t="n">
        <v>3</v>
      </c>
      <c r="AJ946" t="n">
        <v>5</v>
      </c>
      <c r="AK946" t="n">
        <v>5</v>
      </c>
      <c r="AL946" t="n">
        <v>0</v>
      </c>
      <c r="AM946" t="n">
        <v>0</v>
      </c>
      <c r="AN946" t="n">
        <v>0</v>
      </c>
      <c r="AO946" t="n">
        <v>0</v>
      </c>
      <c r="AP946" t="inlineStr">
        <is>
          <t>No</t>
        </is>
      </c>
      <c r="AQ946" t="inlineStr">
        <is>
          <t>No</t>
        </is>
      </c>
      <c r="AS946">
        <f>HYPERLINK("https://creighton-primo.hosted.exlibrisgroup.com/primo-explore/search?tab=default_tab&amp;search_scope=EVERYTHING&amp;vid=01CRU&amp;lang=en_US&amp;offset=0&amp;query=any,contains,991005405089702656","Catalog Record")</f>
        <v/>
      </c>
      <c r="AT946">
        <f>HYPERLINK("http://www.worldcat.org/oclc/11812092","WorldCat Record")</f>
        <v/>
      </c>
      <c r="AU946" t="inlineStr">
        <is>
          <t>766779416:eng</t>
        </is>
      </c>
      <c r="AV946" t="inlineStr">
        <is>
          <t>11812092</t>
        </is>
      </c>
      <c r="AW946" t="inlineStr">
        <is>
          <t>991005405089702656</t>
        </is>
      </c>
      <c r="AX946" t="inlineStr">
        <is>
          <t>991005405089702656</t>
        </is>
      </c>
      <c r="AY946" t="inlineStr">
        <is>
          <t>2260010210002656</t>
        </is>
      </c>
      <c r="AZ946" t="inlineStr">
        <is>
          <t>BOOK</t>
        </is>
      </c>
      <c r="BB946" t="inlineStr">
        <is>
          <t>9780471807780</t>
        </is>
      </c>
      <c r="BC946" t="inlineStr">
        <is>
          <t>32285000646702</t>
        </is>
      </c>
      <c r="BD946" t="inlineStr">
        <is>
          <t>893521134</t>
        </is>
      </c>
    </row>
    <row r="947">
      <c r="A947" t="inlineStr">
        <is>
          <t>No</t>
        </is>
      </c>
      <c r="B947" t="inlineStr">
        <is>
          <t>QD453 .A27 v.67, 69</t>
        </is>
      </c>
      <c r="C947" t="inlineStr">
        <is>
          <t>0                      QD 0453000A  27                                                      v.67, 69</t>
        </is>
      </c>
      <c r="D947" t="inlineStr">
        <is>
          <t>Ab initio methods in quantum chemistry / edited by K.P Lawley.</t>
        </is>
      </c>
      <c r="E947" t="inlineStr">
        <is>
          <t>V. 67</t>
        </is>
      </c>
      <c r="F947" t="inlineStr">
        <is>
          <t>Yes</t>
        </is>
      </c>
      <c r="G947" t="inlineStr">
        <is>
          <t>1</t>
        </is>
      </c>
      <c r="H947" t="inlineStr">
        <is>
          <t>No</t>
        </is>
      </c>
      <c r="I947" t="inlineStr">
        <is>
          <t>No</t>
        </is>
      </c>
      <c r="J947" t="inlineStr">
        <is>
          <t>0</t>
        </is>
      </c>
      <c r="L947" t="inlineStr">
        <is>
          <t>Chichester [West Sussex] ; New York : Wiley, c1987.</t>
        </is>
      </c>
      <c r="M947" t="inlineStr">
        <is>
          <t>1987</t>
        </is>
      </c>
      <c r="O947" t="inlineStr">
        <is>
          <t>eng</t>
        </is>
      </c>
      <c r="P947" t="inlineStr">
        <is>
          <t>enk</t>
        </is>
      </c>
      <c r="Q947" t="inlineStr">
        <is>
          <t>Advances in chemical physics ; v. 67, 69</t>
        </is>
      </c>
      <c r="R947" t="inlineStr">
        <is>
          <t xml:space="preserve">QD </t>
        </is>
      </c>
      <c r="S947" t="n">
        <v>1</v>
      </c>
      <c r="T947" t="n">
        <v>2</v>
      </c>
      <c r="U947" t="inlineStr">
        <is>
          <t>1998-07-30</t>
        </is>
      </c>
      <c r="V947" t="inlineStr">
        <is>
          <t>1998-07-30</t>
        </is>
      </c>
      <c r="W947" t="inlineStr">
        <is>
          <t>1991-05-30</t>
        </is>
      </c>
      <c r="X947" t="inlineStr">
        <is>
          <t>1991-05-30</t>
        </is>
      </c>
      <c r="Y947" t="n">
        <v>187</v>
      </c>
      <c r="Z947" t="n">
        <v>156</v>
      </c>
      <c r="AA947" t="n">
        <v>214</v>
      </c>
      <c r="AB947" t="n">
        <v>1</v>
      </c>
      <c r="AC947" t="n">
        <v>1</v>
      </c>
      <c r="AD947" t="n">
        <v>7</v>
      </c>
      <c r="AE947" t="n">
        <v>7</v>
      </c>
      <c r="AF947" t="n">
        <v>2</v>
      </c>
      <c r="AG947" t="n">
        <v>2</v>
      </c>
      <c r="AH947" t="n">
        <v>2</v>
      </c>
      <c r="AI947" t="n">
        <v>2</v>
      </c>
      <c r="AJ947" t="n">
        <v>5</v>
      </c>
      <c r="AK947" t="n">
        <v>5</v>
      </c>
      <c r="AL947" t="n">
        <v>0</v>
      </c>
      <c r="AM947" t="n">
        <v>0</v>
      </c>
      <c r="AN947" t="n">
        <v>0</v>
      </c>
      <c r="AO947" t="n">
        <v>0</v>
      </c>
      <c r="AP947" t="inlineStr">
        <is>
          <t>No</t>
        </is>
      </c>
      <c r="AQ947" t="inlineStr">
        <is>
          <t>No</t>
        </is>
      </c>
      <c r="AS947">
        <f>HYPERLINK("https://creighton-primo.hosted.exlibrisgroup.com/primo-explore/search?tab=default_tab&amp;search_scope=EVERYTHING&amp;vid=01CRU&amp;lang=en_US&amp;offset=0&amp;query=any,contains,991005406499702656","Catalog Record")</f>
        <v/>
      </c>
      <c r="AT947">
        <f>HYPERLINK("http://www.worldcat.org/oclc/13455961","WorldCat Record")</f>
        <v/>
      </c>
      <c r="AU947" t="inlineStr">
        <is>
          <t>52608199:eng</t>
        </is>
      </c>
      <c r="AV947" t="inlineStr">
        <is>
          <t>13455961</t>
        </is>
      </c>
      <c r="AW947" t="inlineStr">
        <is>
          <t>991005406499702656</t>
        </is>
      </c>
      <c r="AX947" t="inlineStr">
        <is>
          <t>991005406499702656</t>
        </is>
      </c>
      <c r="AY947" t="inlineStr">
        <is>
          <t>2263542770002656</t>
        </is>
      </c>
      <c r="AZ947" t="inlineStr">
        <is>
          <t>BOOK</t>
        </is>
      </c>
      <c r="BB947" t="inlineStr">
        <is>
          <t>9780471909002</t>
        </is>
      </c>
      <c r="BC947" t="inlineStr">
        <is>
          <t>32285000646744</t>
        </is>
      </c>
      <c r="BD947" t="inlineStr">
        <is>
          <t>893595000</t>
        </is>
      </c>
    </row>
    <row r="948">
      <c r="A948" t="inlineStr">
        <is>
          <t>No</t>
        </is>
      </c>
      <c r="B948" t="inlineStr">
        <is>
          <t>QD453 .A27 v.67, 69</t>
        </is>
      </c>
      <c r="C948" t="inlineStr">
        <is>
          <t>0                      QD 0453000A  27                                                      v.67, 69</t>
        </is>
      </c>
      <c r="D948" t="inlineStr">
        <is>
          <t>Ab initio methods in quantum chemistry / edited by K.P Lawley.</t>
        </is>
      </c>
      <c r="E948" t="inlineStr">
        <is>
          <t>V. 69</t>
        </is>
      </c>
      <c r="F948" t="inlineStr">
        <is>
          <t>Yes</t>
        </is>
      </c>
      <c r="G948" t="inlineStr">
        <is>
          <t>1</t>
        </is>
      </c>
      <c r="H948" t="inlineStr">
        <is>
          <t>No</t>
        </is>
      </c>
      <c r="I948" t="inlineStr">
        <is>
          <t>No</t>
        </is>
      </c>
      <c r="J948" t="inlineStr">
        <is>
          <t>0</t>
        </is>
      </c>
      <c r="L948" t="inlineStr">
        <is>
          <t>Chichester [West Sussex] ; New York : Wiley, c1987.</t>
        </is>
      </c>
      <c r="M948" t="inlineStr">
        <is>
          <t>1987</t>
        </is>
      </c>
      <c r="O948" t="inlineStr">
        <is>
          <t>eng</t>
        </is>
      </c>
      <c r="P948" t="inlineStr">
        <is>
          <t>enk</t>
        </is>
      </c>
      <c r="Q948" t="inlineStr">
        <is>
          <t>Advances in chemical physics ; v. 67, 69</t>
        </is>
      </c>
      <c r="R948" t="inlineStr">
        <is>
          <t xml:space="preserve">QD </t>
        </is>
      </c>
      <c r="S948" t="n">
        <v>1</v>
      </c>
      <c r="T948" t="n">
        <v>2</v>
      </c>
      <c r="U948" t="inlineStr">
        <is>
          <t>1998-07-30</t>
        </is>
      </c>
      <c r="V948" t="inlineStr">
        <is>
          <t>1998-07-30</t>
        </is>
      </c>
      <c r="W948" t="inlineStr">
        <is>
          <t>1991-05-30</t>
        </is>
      </c>
      <c r="X948" t="inlineStr">
        <is>
          <t>1991-05-30</t>
        </is>
      </c>
      <c r="Y948" t="n">
        <v>187</v>
      </c>
      <c r="Z948" t="n">
        <v>156</v>
      </c>
      <c r="AA948" t="n">
        <v>214</v>
      </c>
      <c r="AB948" t="n">
        <v>1</v>
      </c>
      <c r="AC948" t="n">
        <v>1</v>
      </c>
      <c r="AD948" t="n">
        <v>7</v>
      </c>
      <c r="AE948" t="n">
        <v>7</v>
      </c>
      <c r="AF948" t="n">
        <v>2</v>
      </c>
      <c r="AG948" t="n">
        <v>2</v>
      </c>
      <c r="AH948" t="n">
        <v>2</v>
      </c>
      <c r="AI948" t="n">
        <v>2</v>
      </c>
      <c r="AJ948" t="n">
        <v>5</v>
      </c>
      <c r="AK948" t="n">
        <v>5</v>
      </c>
      <c r="AL948" t="n">
        <v>0</v>
      </c>
      <c r="AM948" t="n">
        <v>0</v>
      </c>
      <c r="AN948" t="n">
        <v>0</v>
      </c>
      <c r="AO948" t="n">
        <v>0</v>
      </c>
      <c r="AP948" t="inlineStr">
        <is>
          <t>No</t>
        </is>
      </c>
      <c r="AQ948" t="inlineStr">
        <is>
          <t>No</t>
        </is>
      </c>
      <c r="AS948">
        <f>HYPERLINK("https://creighton-primo.hosted.exlibrisgroup.com/primo-explore/search?tab=default_tab&amp;search_scope=EVERYTHING&amp;vid=01CRU&amp;lang=en_US&amp;offset=0&amp;query=any,contains,991005406499702656","Catalog Record")</f>
        <v/>
      </c>
      <c r="AT948">
        <f>HYPERLINK("http://www.worldcat.org/oclc/13455961","WorldCat Record")</f>
        <v/>
      </c>
      <c r="AU948" t="inlineStr">
        <is>
          <t>52608199:eng</t>
        </is>
      </c>
      <c r="AV948" t="inlineStr">
        <is>
          <t>13455961</t>
        </is>
      </c>
      <c r="AW948" t="inlineStr">
        <is>
          <t>991005406499702656</t>
        </is>
      </c>
      <c r="AX948" t="inlineStr">
        <is>
          <t>991005406499702656</t>
        </is>
      </c>
      <c r="AY948" t="inlineStr">
        <is>
          <t>2263542770002656</t>
        </is>
      </c>
      <c r="AZ948" t="inlineStr">
        <is>
          <t>BOOK</t>
        </is>
      </c>
      <c r="BB948" t="inlineStr">
        <is>
          <t>9780471909002</t>
        </is>
      </c>
      <c r="BC948" t="inlineStr">
        <is>
          <t>32285000646769</t>
        </is>
      </c>
      <c r="BD948" t="inlineStr">
        <is>
          <t>893595001</t>
        </is>
      </c>
    </row>
    <row r="949">
      <c r="A949" t="inlineStr">
        <is>
          <t>No</t>
        </is>
      </c>
      <c r="B949" t="inlineStr">
        <is>
          <t>QD453 .A27 v.7</t>
        </is>
      </c>
      <c r="C949" t="inlineStr">
        <is>
          <t>0                      QD 0453000A  27                                                      v.7</t>
        </is>
      </c>
      <c r="D949" t="inlineStr">
        <is>
          <t>The structure and properties of biomolecules and biological systems / edited by J. Duchesne.</t>
        </is>
      </c>
      <c r="E949" t="inlineStr">
        <is>
          <t>V. 7</t>
        </is>
      </c>
      <c r="F949" t="inlineStr">
        <is>
          <t>No</t>
        </is>
      </c>
      <c r="G949" t="inlineStr">
        <is>
          <t>1</t>
        </is>
      </c>
      <c r="H949" t="inlineStr">
        <is>
          <t>No</t>
        </is>
      </c>
      <c r="I949" t="inlineStr">
        <is>
          <t>No</t>
        </is>
      </c>
      <c r="J949" t="inlineStr">
        <is>
          <t>0</t>
        </is>
      </c>
      <c r="L949" t="inlineStr">
        <is>
          <t>London : Interscience Publishers, 1964.</t>
        </is>
      </c>
      <c r="M949" t="inlineStr">
        <is>
          <t>1964</t>
        </is>
      </c>
      <c r="O949" t="inlineStr">
        <is>
          <t>eng</t>
        </is>
      </c>
      <c r="P949" t="inlineStr">
        <is>
          <t>enk</t>
        </is>
      </c>
      <c r="Q949" t="inlineStr">
        <is>
          <t>Advances in chemical physics ; v. 7</t>
        </is>
      </c>
      <c r="R949" t="inlineStr">
        <is>
          <t xml:space="preserve">QD </t>
        </is>
      </c>
      <c r="S949" t="n">
        <v>1</v>
      </c>
      <c r="T949" t="n">
        <v>1</v>
      </c>
      <c r="U949" t="inlineStr">
        <is>
          <t>1998-07-30</t>
        </is>
      </c>
      <c r="V949" t="inlineStr">
        <is>
          <t>1998-07-30</t>
        </is>
      </c>
      <c r="W949" t="inlineStr">
        <is>
          <t>1991-09-11</t>
        </is>
      </c>
      <c r="X949" t="inlineStr">
        <is>
          <t>1991-09-11</t>
        </is>
      </c>
      <c r="Y949" t="n">
        <v>171</v>
      </c>
      <c r="Z949" t="n">
        <v>127</v>
      </c>
      <c r="AA949" t="n">
        <v>140</v>
      </c>
      <c r="AB949" t="n">
        <v>2</v>
      </c>
      <c r="AC949" t="n">
        <v>2</v>
      </c>
      <c r="AD949" t="n">
        <v>9</v>
      </c>
      <c r="AE949" t="n">
        <v>9</v>
      </c>
      <c r="AF949" t="n">
        <v>1</v>
      </c>
      <c r="AG949" t="n">
        <v>1</v>
      </c>
      <c r="AH949" t="n">
        <v>2</v>
      </c>
      <c r="AI949" t="n">
        <v>2</v>
      </c>
      <c r="AJ949" t="n">
        <v>6</v>
      </c>
      <c r="AK949" t="n">
        <v>6</v>
      </c>
      <c r="AL949" t="n">
        <v>1</v>
      </c>
      <c r="AM949" t="n">
        <v>1</v>
      </c>
      <c r="AN949" t="n">
        <v>0</v>
      </c>
      <c r="AO949" t="n">
        <v>0</v>
      </c>
      <c r="AP949" t="inlineStr">
        <is>
          <t>No</t>
        </is>
      </c>
      <c r="AQ949" t="inlineStr">
        <is>
          <t>Yes</t>
        </is>
      </c>
      <c r="AR949">
        <f>HYPERLINK("http://catalog.hathitrust.org/Record/002031252","HathiTrust Record")</f>
        <v/>
      </c>
      <c r="AS949">
        <f>HYPERLINK("https://creighton-primo.hosted.exlibrisgroup.com/primo-explore/search?tab=default_tab&amp;search_scope=EVERYTHING&amp;vid=01CRU&amp;lang=en_US&amp;offset=0&amp;query=any,contains,991005365349702656","Catalog Record")</f>
        <v/>
      </c>
      <c r="AT949">
        <f>HYPERLINK("http://www.worldcat.org/oclc/1745160","WorldCat Record")</f>
        <v/>
      </c>
      <c r="AU949" t="inlineStr">
        <is>
          <t>766778562:eng</t>
        </is>
      </c>
      <c r="AV949" t="inlineStr">
        <is>
          <t>1745160</t>
        </is>
      </c>
      <c r="AW949" t="inlineStr">
        <is>
          <t>991005365349702656</t>
        </is>
      </c>
      <c r="AX949" t="inlineStr">
        <is>
          <t>991005365349702656</t>
        </is>
      </c>
      <c r="AY949" t="inlineStr">
        <is>
          <t>2262403990002656</t>
        </is>
      </c>
      <c r="AZ949" t="inlineStr">
        <is>
          <t>BOOK</t>
        </is>
      </c>
      <c r="BC949" t="inlineStr">
        <is>
          <t>32285000646124</t>
        </is>
      </c>
      <c r="BD949" t="inlineStr">
        <is>
          <t>893689076</t>
        </is>
      </c>
    </row>
    <row r="950">
      <c r="A950" t="inlineStr">
        <is>
          <t>No</t>
        </is>
      </c>
      <c r="B950" t="inlineStr">
        <is>
          <t>QD453 .A27 v.70</t>
        </is>
      </c>
      <c r="C950" t="inlineStr">
        <is>
          <t>0                      QD 0453000A  27                                                      v.70</t>
        </is>
      </c>
      <c r="D950" t="inlineStr">
        <is>
          <t>Evolution of size effects in chemical dynamics / edited by I. Prigogine and Stuart A. Rice.</t>
        </is>
      </c>
      <c r="E950" t="inlineStr">
        <is>
          <t>V. 70 PT. 1</t>
        </is>
      </c>
      <c r="F950" t="inlineStr">
        <is>
          <t>Yes</t>
        </is>
      </c>
      <c r="G950" t="inlineStr">
        <is>
          <t>1</t>
        </is>
      </c>
      <c r="H950" t="inlineStr">
        <is>
          <t>No</t>
        </is>
      </c>
      <c r="I950" t="inlineStr">
        <is>
          <t>No</t>
        </is>
      </c>
      <c r="J950" t="inlineStr">
        <is>
          <t>0</t>
        </is>
      </c>
      <c r="L950" t="inlineStr">
        <is>
          <t>New York : J. Wiley, 1988-</t>
        </is>
      </c>
      <c r="M950" t="inlineStr">
        <is>
          <t>1988</t>
        </is>
      </c>
      <c r="O950" t="inlineStr">
        <is>
          <t>eng</t>
        </is>
      </c>
      <c r="P950" t="inlineStr">
        <is>
          <t>nyu</t>
        </is>
      </c>
      <c r="Q950" t="inlineStr">
        <is>
          <t>Advances in chemical physics ; v. 70</t>
        </is>
      </c>
      <c r="R950" t="inlineStr">
        <is>
          <t xml:space="preserve">QD </t>
        </is>
      </c>
      <c r="S950" t="n">
        <v>1</v>
      </c>
      <c r="T950" t="n">
        <v>2</v>
      </c>
      <c r="U950" t="inlineStr">
        <is>
          <t>1998-07-30</t>
        </is>
      </c>
      <c r="V950" t="inlineStr">
        <is>
          <t>1998-07-30</t>
        </is>
      </c>
      <c r="W950" t="inlineStr">
        <is>
          <t>1991-05-30</t>
        </is>
      </c>
      <c r="X950" t="inlineStr">
        <is>
          <t>1991-05-30</t>
        </is>
      </c>
      <c r="Y950" t="n">
        <v>170</v>
      </c>
      <c r="Z950" t="n">
        <v>142</v>
      </c>
      <c r="AA950" t="n">
        <v>193</v>
      </c>
      <c r="AB950" t="n">
        <v>1</v>
      </c>
      <c r="AC950" t="n">
        <v>1</v>
      </c>
      <c r="AD950" t="n">
        <v>7</v>
      </c>
      <c r="AE950" t="n">
        <v>7</v>
      </c>
      <c r="AF950" t="n">
        <v>2</v>
      </c>
      <c r="AG950" t="n">
        <v>2</v>
      </c>
      <c r="AH950" t="n">
        <v>2</v>
      </c>
      <c r="AI950" t="n">
        <v>2</v>
      </c>
      <c r="AJ950" t="n">
        <v>5</v>
      </c>
      <c r="AK950" t="n">
        <v>5</v>
      </c>
      <c r="AL950" t="n">
        <v>0</v>
      </c>
      <c r="AM950" t="n">
        <v>0</v>
      </c>
      <c r="AN950" t="n">
        <v>0</v>
      </c>
      <c r="AO950" t="n">
        <v>0</v>
      </c>
      <c r="AP950" t="inlineStr">
        <is>
          <t>No</t>
        </is>
      </c>
      <c r="AQ950" t="inlineStr">
        <is>
          <t>No</t>
        </is>
      </c>
      <c r="AS950">
        <f>HYPERLINK("https://creighton-primo.hosted.exlibrisgroup.com/primo-explore/search?tab=default_tab&amp;search_scope=EVERYTHING&amp;vid=01CRU&amp;lang=en_US&amp;offset=0&amp;query=any,contains,991005408859702656","Catalog Record")</f>
        <v/>
      </c>
      <c r="AT950">
        <f>HYPERLINK("http://www.worldcat.org/oclc/17388435","WorldCat Record")</f>
        <v/>
      </c>
      <c r="AU950" t="inlineStr">
        <is>
          <t>3373726236:eng</t>
        </is>
      </c>
      <c r="AV950" t="inlineStr">
        <is>
          <t>17388435</t>
        </is>
      </c>
      <c r="AW950" t="inlineStr">
        <is>
          <t>991005408859702656</t>
        </is>
      </c>
      <c r="AX950" t="inlineStr">
        <is>
          <t>991005408859702656</t>
        </is>
      </c>
      <c r="AY950" t="inlineStr">
        <is>
          <t>2269444650002656</t>
        </is>
      </c>
      <c r="AZ950" t="inlineStr">
        <is>
          <t>BOOK</t>
        </is>
      </c>
      <c r="BB950" t="inlineStr">
        <is>
          <t>9780471627845</t>
        </is>
      </c>
      <c r="BC950" t="inlineStr">
        <is>
          <t>32285000646777</t>
        </is>
      </c>
      <c r="BD950" t="inlineStr">
        <is>
          <t>893236782</t>
        </is>
      </c>
    </row>
    <row r="951">
      <c r="A951" t="inlineStr">
        <is>
          <t>No</t>
        </is>
      </c>
      <c r="B951" t="inlineStr">
        <is>
          <t>QD453 .A27 v.70</t>
        </is>
      </c>
      <c r="C951" t="inlineStr">
        <is>
          <t>0                      QD 0453000A  27                                                      v.70</t>
        </is>
      </c>
      <c r="D951" t="inlineStr">
        <is>
          <t>Evolution of size effects in chemical dynamics / edited by I. Prigogine and Stuart A. Rice.</t>
        </is>
      </c>
      <c r="E951" t="inlineStr">
        <is>
          <t>V. 70 PT. 2</t>
        </is>
      </c>
      <c r="F951" t="inlineStr">
        <is>
          <t>Yes</t>
        </is>
      </c>
      <c r="G951" t="inlineStr">
        <is>
          <t>1</t>
        </is>
      </c>
      <c r="H951" t="inlineStr">
        <is>
          <t>No</t>
        </is>
      </c>
      <c r="I951" t="inlineStr">
        <is>
          <t>No</t>
        </is>
      </c>
      <c r="J951" t="inlineStr">
        <is>
          <t>0</t>
        </is>
      </c>
      <c r="L951" t="inlineStr">
        <is>
          <t>New York : J. Wiley, 1988-</t>
        </is>
      </c>
      <c r="M951" t="inlineStr">
        <is>
          <t>1988</t>
        </is>
      </c>
      <c r="O951" t="inlineStr">
        <is>
          <t>eng</t>
        </is>
      </c>
      <c r="P951" t="inlineStr">
        <is>
          <t>nyu</t>
        </is>
      </c>
      <c r="Q951" t="inlineStr">
        <is>
          <t>Advances in chemical physics ; v. 70</t>
        </is>
      </c>
      <c r="R951" t="inlineStr">
        <is>
          <t xml:space="preserve">QD </t>
        </is>
      </c>
      <c r="S951" t="n">
        <v>1</v>
      </c>
      <c r="T951" t="n">
        <v>2</v>
      </c>
      <c r="U951" t="inlineStr">
        <is>
          <t>1998-07-30</t>
        </is>
      </c>
      <c r="V951" t="inlineStr">
        <is>
          <t>1998-07-30</t>
        </is>
      </c>
      <c r="W951" t="inlineStr">
        <is>
          <t>1991-05-30</t>
        </is>
      </c>
      <c r="X951" t="inlineStr">
        <is>
          <t>1991-05-30</t>
        </is>
      </c>
      <c r="Y951" t="n">
        <v>170</v>
      </c>
      <c r="Z951" t="n">
        <v>142</v>
      </c>
      <c r="AA951" t="n">
        <v>193</v>
      </c>
      <c r="AB951" t="n">
        <v>1</v>
      </c>
      <c r="AC951" t="n">
        <v>1</v>
      </c>
      <c r="AD951" t="n">
        <v>7</v>
      </c>
      <c r="AE951" t="n">
        <v>7</v>
      </c>
      <c r="AF951" t="n">
        <v>2</v>
      </c>
      <c r="AG951" t="n">
        <v>2</v>
      </c>
      <c r="AH951" t="n">
        <v>2</v>
      </c>
      <c r="AI951" t="n">
        <v>2</v>
      </c>
      <c r="AJ951" t="n">
        <v>5</v>
      </c>
      <c r="AK951" t="n">
        <v>5</v>
      </c>
      <c r="AL951" t="n">
        <v>0</v>
      </c>
      <c r="AM951" t="n">
        <v>0</v>
      </c>
      <c r="AN951" t="n">
        <v>0</v>
      </c>
      <c r="AO951" t="n">
        <v>0</v>
      </c>
      <c r="AP951" t="inlineStr">
        <is>
          <t>No</t>
        </is>
      </c>
      <c r="AQ951" t="inlineStr">
        <is>
          <t>No</t>
        </is>
      </c>
      <c r="AS951">
        <f>HYPERLINK("https://creighton-primo.hosted.exlibrisgroup.com/primo-explore/search?tab=default_tab&amp;search_scope=EVERYTHING&amp;vid=01CRU&amp;lang=en_US&amp;offset=0&amp;query=any,contains,991005408859702656","Catalog Record")</f>
        <v/>
      </c>
      <c r="AT951">
        <f>HYPERLINK("http://www.worldcat.org/oclc/17388435","WorldCat Record")</f>
        <v/>
      </c>
      <c r="AU951" t="inlineStr">
        <is>
          <t>3373726236:eng</t>
        </is>
      </c>
      <c r="AV951" t="inlineStr">
        <is>
          <t>17388435</t>
        </is>
      </c>
      <c r="AW951" t="inlineStr">
        <is>
          <t>991005408859702656</t>
        </is>
      </c>
      <c r="AX951" t="inlineStr">
        <is>
          <t>991005408859702656</t>
        </is>
      </c>
      <c r="AY951" t="inlineStr">
        <is>
          <t>2269444650002656</t>
        </is>
      </c>
      <c r="AZ951" t="inlineStr">
        <is>
          <t>BOOK</t>
        </is>
      </c>
      <c r="BB951" t="inlineStr">
        <is>
          <t>9780471627845</t>
        </is>
      </c>
      <c r="BC951" t="inlineStr">
        <is>
          <t>32285000646785</t>
        </is>
      </c>
      <c r="BD951" t="inlineStr">
        <is>
          <t>893242699</t>
        </is>
      </c>
    </row>
    <row r="952">
      <c r="A952" t="inlineStr">
        <is>
          <t>No</t>
        </is>
      </c>
      <c r="B952" t="inlineStr">
        <is>
          <t>QD453 .A27 v.71</t>
        </is>
      </c>
      <c r="C952" t="inlineStr">
        <is>
          <t>0                      QD 0453000A  27                                                      v.71</t>
        </is>
      </c>
      <c r="D952" t="inlineStr">
        <is>
          <t>Proteins : a theoretical perspective of dynamics, structure, and thermodynamics / Charles L. Brooks III, Martin Karplus, B. Montgomery Pettitt.</t>
        </is>
      </c>
      <c r="E952" t="inlineStr">
        <is>
          <t>V. 71</t>
        </is>
      </c>
      <c r="F952" t="inlineStr">
        <is>
          <t>No</t>
        </is>
      </c>
      <c r="G952" t="inlineStr">
        <is>
          <t>1</t>
        </is>
      </c>
      <c r="H952" t="inlineStr">
        <is>
          <t>No</t>
        </is>
      </c>
      <c r="I952" t="inlineStr">
        <is>
          <t>No</t>
        </is>
      </c>
      <c r="J952" t="inlineStr">
        <is>
          <t>0</t>
        </is>
      </c>
      <c r="K952" t="inlineStr">
        <is>
          <t>Brooks, Charles L.</t>
        </is>
      </c>
      <c r="L952" t="inlineStr">
        <is>
          <t>New York : J. Wiley, 1987.</t>
        </is>
      </c>
      <c r="M952" t="inlineStr">
        <is>
          <t>1987</t>
        </is>
      </c>
      <c r="O952" t="inlineStr">
        <is>
          <t>eng</t>
        </is>
      </c>
      <c r="P952" t="inlineStr">
        <is>
          <t>nyu</t>
        </is>
      </c>
      <c r="Q952" t="inlineStr">
        <is>
          <t>Advances in chemical physics ; v. 71</t>
        </is>
      </c>
      <c r="R952" t="inlineStr">
        <is>
          <t xml:space="preserve">QD </t>
        </is>
      </c>
      <c r="S952" t="n">
        <v>9</v>
      </c>
      <c r="T952" t="n">
        <v>9</v>
      </c>
      <c r="U952" t="inlineStr">
        <is>
          <t>2006-02-24</t>
        </is>
      </c>
      <c r="V952" t="inlineStr">
        <is>
          <t>2006-02-24</t>
        </is>
      </c>
      <c r="W952" t="inlineStr">
        <is>
          <t>1992-05-11</t>
        </is>
      </c>
      <c r="X952" t="inlineStr">
        <is>
          <t>1992-05-11</t>
        </is>
      </c>
      <c r="Y952" t="n">
        <v>278</v>
      </c>
      <c r="Z952" t="n">
        <v>199</v>
      </c>
      <c r="AA952" t="n">
        <v>260</v>
      </c>
      <c r="AB952" t="n">
        <v>1</v>
      </c>
      <c r="AC952" t="n">
        <v>1</v>
      </c>
      <c r="AD952" t="n">
        <v>8</v>
      </c>
      <c r="AE952" t="n">
        <v>9</v>
      </c>
      <c r="AF952" t="n">
        <v>3</v>
      </c>
      <c r="AG952" t="n">
        <v>3</v>
      </c>
      <c r="AH952" t="n">
        <v>3</v>
      </c>
      <c r="AI952" t="n">
        <v>4</v>
      </c>
      <c r="AJ952" t="n">
        <v>5</v>
      </c>
      <c r="AK952" t="n">
        <v>6</v>
      </c>
      <c r="AL952" t="n">
        <v>0</v>
      </c>
      <c r="AM952" t="n">
        <v>0</v>
      </c>
      <c r="AN952" t="n">
        <v>0</v>
      </c>
      <c r="AO952" t="n">
        <v>0</v>
      </c>
      <c r="AP952" t="inlineStr">
        <is>
          <t>No</t>
        </is>
      </c>
      <c r="AQ952" t="inlineStr">
        <is>
          <t>No</t>
        </is>
      </c>
      <c r="AS952">
        <f>HYPERLINK("https://creighton-primo.hosted.exlibrisgroup.com/primo-explore/search?tab=default_tab&amp;search_scope=EVERYTHING&amp;vid=01CRU&amp;lang=en_US&amp;offset=0&amp;query=any,contains,991005407969702656","Catalog Record")</f>
        <v/>
      </c>
      <c r="AT952">
        <f>HYPERLINK("http://www.worldcat.org/oclc/16094974","WorldCat Record")</f>
        <v/>
      </c>
      <c r="AU952" t="inlineStr">
        <is>
          <t>143959053:eng</t>
        </is>
      </c>
      <c r="AV952" t="inlineStr">
        <is>
          <t>16094974</t>
        </is>
      </c>
      <c r="AW952" t="inlineStr">
        <is>
          <t>991005407969702656</t>
        </is>
      </c>
      <c r="AX952" t="inlineStr">
        <is>
          <t>991005407969702656</t>
        </is>
      </c>
      <c r="AY952" t="inlineStr">
        <is>
          <t>2260678600002656</t>
        </is>
      </c>
      <c r="AZ952" t="inlineStr">
        <is>
          <t>BOOK</t>
        </is>
      </c>
      <c r="BB952" t="inlineStr">
        <is>
          <t>9780471628019</t>
        </is>
      </c>
      <c r="BC952" t="inlineStr">
        <is>
          <t>32285001106920</t>
        </is>
      </c>
      <c r="BD952" t="inlineStr">
        <is>
          <t>893521146</t>
        </is>
      </c>
    </row>
    <row r="953">
      <c r="A953" t="inlineStr">
        <is>
          <t>No</t>
        </is>
      </c>
      <c r="B953" t="inlineStr">
        <is>
          <t>QD453 .A27 v.73</t>
        </is>
      </c>
      <c r="C953" t="inlineStr">
        <is>
          <t>0                      QD 0453000A  27                                                      v.73</t>
        </is>
      </c>
      <c r="D953" t="inlineStr">
        <is>
          <t>Lasers, molecules, and methods / edited by Joseph O. Hirschfelder, Robert E. Wyatt, Rob. D. Coalson.</t>
        </is>
      </c>
      <c r="E953" t="inlineStr">
        <is>
          <t>V. 73</t>
        </is>
      </c>
      <c r="F953" t="inlineStr">
        <is>
          <t>No</t>
        </is>
      </c>
      <c r="G953" t="inlineStr">
        <is>
          <t>1</t>
        </is>
      </c>
      <c r="H953" t="inlineStr">
        <is>
          <t>No</t>
        </is>
      </c>
      <c r="I953" t="inlineStr">
        <is>
          <t>No</t>
        </is>
      </c>
      <c r="J953" t="inlineStr">
        <is>
          <t>0</t>
        </is>
      </c>
      <c r="L953" t="inlineStr">
        <is>
          <t>New York : Wiley, c1989.</t>
        </is>
      </c>
      <c r="M953" t="inlineStr">
        <is>
          <t>1989</t>
        </is>
      </c>
      <c r="O953" t="inlineStr">
        <is>
          <t>eng</t>
        </is>
      </c>
      <c r="P953" t="inlineStr">
        <is>
          <t>nyu</t>
        </is>
      </c>
      <c r="Q953" t="inlineStr">
        <is>
          <t>Advances in chemical physics ; v. 73</t>
        </is>
      </c>
      <c r="R953" t="inlineStr">
        <is>
          <t xml:space="preserve">QD </t>
        </is>
      </c>
      <c r="S953" t="n">
        <v>1</v>
      </c>
      <c r="T953" t="n">
        <v>1</v>
      </c>
      <c r="U953" t="inlineStr">
        <is>
          <t>1998-07-30</t>
        </is>
      </c>
      <c r="V953" t="inlineStr">
        <is>
          <t>1998-07-30</t>
        </is>
      </c>
      <c r="W953" t="inlineStr">
        <is>
          <t>1991-05-30</t>
        </is>
      </c>
      <c r="X953" t="inlineStr">
        <is>
          <t>1991-05-30</t>
        </is>
      </c>
      <c r="Y953" t="n">
        <v>219</v>
      </c>
      <c r="Z953" t="n">
        <v>167</v>
      </c>
      <c r="AA953" t="n">
        <v>231</v>
      </c>
      <c r="AB953" t="n">
        <v>1</v>
      </c>
      <c r="AC953" t="n">
        <v>1</v>
      </c>
      <c r="AD953" t="n">
        <v>7</v>
      </c>
      <c r="AE953" t="n">
        <v>7</v>
      </c>
      <c r="AF953" t="n">
        <v>2</v>
      </c>
      <c r="AG953" t="n">
        <v>2</v>
      </c>
      <c r="AH953" t="n">
        <v>2</v>
      </c>
      <c r="AI953" t="n">
        <v>2</v>
      </c>
      <c r="AJ953" t="n">
        <v>5</v>
      </c>
      <c r="AK953" t="n">
        <v>5</v>
      </c>
      <c r="AL953" t="n">
        <v>0</v>
      </c>
      <c r="AM953" t="n">
        <v>0</v>
      </c>
      <c r="AN953" t="n">
        <v>0</v>
      </c>
      <c r="AO953" t="n">
        <v>0</v>
      </c>
      <c r="AP953" t="inlineStr">
        <is>
          <t>No</t>
        </is>
      </c>
      <c r="AQ953" t="inlineStr">
        <is>
          <t>No</t>
        </is>
      </c>
      <c r="AS953">
        <f>HYPERLINK("https://creighton-primo.hosted.exlibrisgroup.com/primo-explore/search?tab=default_tab&amp;search_scope=EVERYTHING&amp;vid=01CRU&amp;lang=en_US&amp;offset=0&amp;query=any,contains,991005408409702656","Catalog Record")</f>
        <v/>
      </c>
      <c r="AT953">
        <f>HYPERLINK("http://www.worldcat.org/oclc/16759068","WorldCat Record")</f>
        <v/>
      </c>
      <c r="AU953" t="inlineStr">
        <is>
          <t>766778969:eng</t>
        </is>
      </c>
      <c r="AV953" t="inlineStr">
        <is>
          <t>16759068</t>
        </is>
      </c>
      <c r="AW953" t="inlineStr">
        <is>
          <t>991005408409702656</t>
        </is>
      </c>
      <c r="AX953" t="inlineStr">
        <is>
          <t>991005408409702656</t>
        </is>
      </c>
      <c r="AY953" t="inlineStr">
        <is>
          <t>2261481990002656</t>
        </is>
      </c>
      <c r="AZ953" t="inlineStr">
        <is>
          <t>BOOK</t>
        </is>
      </c>
      <c r="BC953" t="inlineStr">
        <is>
          <t>32285000646801</t>
        </is>
      </c>
      <c r="BD953" t="inlineStr">
        <is>
          <t>893789978</t>
        </is>
      </c>
    </row>
    <row r="954">
      <c r="A954" t="inlineStr">
        <is>
          <t>No</t>
        </is>
      </c>
      <c r="B954" t="inlineStr">
        <is>
          <t>QD453 .A27 v.76</t>
        </is>
      </c>
      <c r="C954" t="inlineStr">
        <is>
          <t>0                      QD 0453000A  27                                                      v.76</t>
        </is>
      </c>
      <c r="D954" t="inlineStr">
        <is>
          <t>Molecule surface interactions / edited by K.P. Lawley.</t>
        </is>
      </c>
      <c r="E954" t="inlineStr">
        <is>
          <t>V. 76</t>
        </is>
      </c>
      <c r="F954" t="inlineStr">
        <is>
          <t>No</t>
        </is>
      </c>
      <c r="G954" t="inlineStr">
        <is>
          <t>1</t>
        </is>
      </c>
      <c r="H954" t="inlineStr">
        <is>
          <t>No</t>
        </is>
      </c>
      <c r="I954" t="inlineStr">
        <is>
          <t>No</t>
        </is>
      </c>
      <c r="J954" t="inlineStr">
        <is>
          <t>0</t>
        </is>
      </c>
      <c r="L954" t="inlineStr">
        <is>
          <t>Chichester ; New York : Wiley, 1989.</t>
        </is>
      </c>
      <c r="M954" t="inlineStr">
        <is>
          <t>1989</t>
        </is>
      </c>
      <c r="O954" t="inlineStr">
        <is>
          <t>eng</t>
        </is>
      </c>
      <c r="P954" t="inlineStr">
        <is>
          <t>enk</t>
        </is>
      </c>
      <c r="Q954" t="inlineStr">
        <is>
          <t>Advances in chemical physics ; v. 76</t>
        </is>
      </c>
      <c r="R954" t="inlineStr">
        <is>
          <t xml:space="preserve">QD </t>
        </is>
      </c>
      <c r="S954" t="n">
        <v>1</v>
      </c>
      <c r="T954" t="n">
        <v>1</v>
      </c>
      <c r="U954" t="inlineStr">
        <is>
          <t>1998-07-30</t>
        </is>
      </c>
      <c r="V954" t="inlineStr">
        <is>
          <t>1998-07-30</t>
        </is>
      </c>
      <c r="W954" t="inlineStr">
        <is>
          <t>1991-05-30</t>
        </is>
      </c>
      <c r="X954" t="inlineStr">
        <is>
          <t>1991-05-30</t>
        </is>
      </c>
      <c r="Y954" t="n">
        <v>194</v>
      </c>
      <c r="Z954" t="n">
        <v>136</v>
      </c>
      <c r="AA954" t="n">
        <v>199</v>
      </c>
      <c r="AB954" t="n">
        <v>1</v>
      </c>
      <c r="AC954" t="n">
        <v>1</v>
      </c>
      <c r="AD954" t="n">
        <v>6</v>
      </c>
      <c r="AE954" t="n">
        <v>6</v>
      </c>
      <c r="AF954" t="n">
        <v>2</v>
      </c>
      <c r="AG954" t="n">
        <v>2</v>
      </c>
      <c r="AH954" t="n">
        <v>1</v>
      </c>
      <c r="AI954" t="n">
        <v>1</v>
      </c>
      <c r="AJ954" t="n">
        <v>5</v>
      </c>
      <c r="AK954" t="n">
        <v>5</v>
      </c>
      <c r="AL954" t="n">
        <v>0</v>
      </c>
      <c r="AM954" t="n">
        <v>0</v>
      </c>
      <c r="AN954" t="n">
        <v>0</v>
      </c>
      <c r="AO954" t="n">
        <v>0</v>
      </c>
      <c r="AP954" t="inlineStr">
        <is>
          <t>No</t>
        </is>
      </c>
      <c r="AQ954" t="inlineStr">
        <is>
          <t>No</t>
        </is>
      </c>
      <c r="AS954">
        <f>HYPERLINK("https://creighton-primo.hosted.exlibrisgroup.com/primo-explore/search?tab=default_tab&amp;search_scope=EVERYTHING&amp;vid=01CRU&amp;lang=en_US&amp;offset=0&amp;query=any,contains,991005411329702656","Catalog Record")</f>
        <v/>
      </c>
      <c r="AT954">
        <f>HYPERLINK("http://www.worldcat.org/oclc/20176806","WorldCat Record")</f>
        <v/>
      </c>
      <c r="AU954" t="inlineStr">
        <is>
          <t>9020859527:eng</t>
        </is>
      </c>
      <c r="AV954" t="inlineStr">
        <is>
          <t>20176806</t>
        </is>
      </c>
      <c r="AW954" t="inlineStr">
        <is>
          <t>991005411329702656</t>
        </is>
      </c>
      <c r="AX954" t="inlineStr">
        <is>
          <t>991005411329702656</t>
        </is>
      </c>
      <c r="AY954" t="inlineStr">
        <is>
          <t>2255711640002656</t>
        </is>
      </c>
      <c r="AZ954" t="inlineStr">
        <is>
          <t>BOOK</t>
        </is>
      </c>
      <c r="BB954" t="inlineStr">
        <is>
          <t>9780471917823</t>
        </is>
      </c>
      <c r="BC954" t="inlineStr">
        <is>
          <t>32285000646827</t>
        </is>
      </c>
      <c r="BD954" t="inlineStr">
        <is>
          <t>893425120</t>
        </is>
      </c>
    </row>
    <row r="955">
      <c r="A955" t="inlineStr">
        <is>
          <t>No</t>
        </is>
      </c>
      <c r="B955" t="inlineStr">
        <is>
          <t>QD453 .A27 v.8</t>
        </is>
      </c>
      <c r="C955" t="inlineStr">
        <is>
          <t>0                      QD 0453000A  27                                                      v.8</t>
        </is>
      </c>
      <c r="D955" t="inlineStr">
        <is>
          <t>The application of wave mechanical methods to the study of molecular properties / edited by R. Daudel.</t>
        </is>
      </c>
      <c r="E955" t="inlineStr">
        <is>
          <t>V. 8</t>
        </is>
      </c>
      <c r="F955" t="inlineStr">
        <is>
          <t>No</t>
        </is>
      </c>
      <c r="G955" t="inlineStr">
        <is>
          <t>1</t>
        </is>
      </c>
      <c r="H955" t="inlineStr">
        <is>
          <t>No</t>
        </is>
      </c>
      <c r="I955" t="inlineStr">
        <is>
          <t>No</t>
        </is>
      </c>
      <c r="J955" t="inlineStr">
        <is>
          <t>0</t>
        </is>
      </c>
      <c r="L955" t="inlineStr">
        <is>
          <t>New York : Interscience Publishers, c1965.</t>
        </is>
      </c>
      <c r="M955" t="inlineStr">
        <is>
          <t>1965</t>
        </is>
      </c>
      <c r="O955" t="inlineStr">
        <is>
          <t>eng</t>
        </is>
      </c>
      <c r="P955" t="inlineStr">
        <is>
          <t>nyu</t>
        </is>
      </c>
      <c r="Q955" t="inlineStr">
        <is>
          <t>Advances in chemical physics ; v. 8</t>
        </is>
      </c>
      <c r="R955" t="inlineStr">
        <is>
          <t xml:space="preserve">QD </t>
        </is>
      </c>
      <c r="S955" t="n">
        <v>2</v>
      </c>
      <c r="T955" t="n">
        <v>2</v>
      </c>
      <c r="U955" t="inlineStr">
        <is>
          <t>1998-07-30</t>
        </is>
      </c>
      <c r="V955" t="inlineStr">
        <is>
          <t>1998-07-30</t>
        </is>
      </c>
      <c r="W955" t="inlineStr">
        <is>
          <t>1991-09-11</t>
        </is>
      </c>
      <c r="X955" t="inlineStr">
        <is>
          <t>1991-09-11</t>
        </is>
      </c>
      <c r="Y955" t="n">
        <v>140</v>
      </c>
      <c r="Z955" t="n">
        <v>127</v>
      </c>
      <c r="AA955" t="n">
        <v>135</v>
      </c>
      <c r="AB955" t="n">
        <v>1</v>
      </c>
      <c r="AC955" t="n">
        <v>1</v>
      </c>
      <c r="AD955" t="n">
        <v>7</v>
      </c>
      <c r="AE955" t="n">
        <v>7</v>
      </c>
      <c r="AF955" t="n">
        <v>2</v>
      </c>
      <c r="AG955" t="n">
        <v>2</v>
      </c>
      <c r="AH955" t="n">
        <v>2</v>
      </c>
      <c r="AI955" t="n">
        <v>2</v>
      </c>
      <c r="AJ955" t="n">
        <v>5</v>
      </c>
      <c r="AK955" t="n">
        <v>5</v>
      </c>
      <c r="AL955" t="n">
        <v>0</v>
      </c>
      <c r="AM955" t="n">
        <v>0</v>
      </c>
      <c r="AN955" t="n">
        <v>0</v>
      </c>
      <c r="AO955" t="n">
        <v>0</v>
      </c>
      <c r="AP955" t="inlineStr">
        <is>
          <t>No</t>
        </is>
      </c>
      <c r="AQ955" t="inlineStr">
        <is>
          <t>No</t>
        </is>
      </c>
      <c r="AS955">
        <f>HYPERLINK("https://creighton-primo.hosted.exlibrisgroup.com/primo-explore/search?tab=default_tab&amp;search_scope=EVERYTHING&amp;vid=01CRU&amp;lang=en_US&amp;offset=0&amp;query=any,contains,991005365329702656","Catalog Record")</f>
        <v/>
      </c>
      <c r="AT955">
        <f>HYPERLINK("http://www.worldcat.org/oclc/1744792","WorldCat Record")</f>
        <v/>
      </c>
      <c r="AU955" t="inlineStr">
        <is>
          <t>766779427:eng</t>
        </is>
      </c>
      <c r="AV955" t="inlineStr">
        <is>
          <t>1744792</t>
        </is>
      </c>
      <c r="AW955" t="inlineStr">
        <is>
          <t>991005365329702656</t>
        </is>
      </c>
      <c r="AX955" t="inlineStr">
        <is>
          <t>991005365329702656</t>
        </is>
      </c>
      <c r="AY955" t="inlineStr">
        <is>
          <t>2261197350002656</t>
        </is>
      </c>
      <c r="AZ955" t="inlineStr">
        <is>
          <t>BOOK</t>
        </is>
      </c>
      <c r="BC955" t="inlineStr">
        <is>
          <t>32285000646132</t>
        </is>
      </c>
      <c r="BD955" t="inlineStr">
        <is>
          <t>893628712</t>
        </is>
      </c>
    </row>
    <row r="956">
      <c r="A956" t="inlineStr">
        <is>
          <t>No</t>
        </is>
      </c>
      <c r="B956" t="inlineStr">
        <is>
          <t>QD453 .A27 v.88</t>
        </is>
      </c>
      <c r="C956" t="inlineStr">
        <is>
          <t>0                      QD 0453000A  27                                                      v.88</t>
        </is>
      </c>
      <c r="D956" t="inlineStr">
        <is>
          <t>Chemical dynamics at low temperatures / Victor A. Benderskii, Dmitrii E. Makarov, Charles A. Wight.</t>
        </is>
      </c>
      <c r="E956" t="inlineStr">
        <is>
          <t>V. 88</t>
        </is>
      </c>
      <c r="F956" t="inlineStr">
        <is>
          <t>No</t>
        </is>
      </c>
      <c r="G956" t="inlineStr">
        <is>
          <t>1</t>
        </is>
      </c>
      <c r="H956" t="inlineStr">
        <is>
          <t>No</t>
        </is>
      </c>
      <c r="I956" t="inlineStr">
        <is>
          <t>No</t>
        </is>
      </c>
      <c r="J956" t="inlineStr">
        <is>
          <t>0</t>
        </is>
      </c>
      <c r="L956" t="inlineStr">
        <is>
          <t>New York : Wiley, c1994.</t>
        </is>
      </c>
      <c r="M956" t="inlineStr">
        <is>
          <t>1994</t>
        </is>
      </c>
      <c r="O956" t="inlineStr">
        <is>
          <t>eng</t>
        </is>
      </c>
      <c r="P956" t="inlineStr">
        <is>
          <t>nyu</t>
        </is>
      </c>
      <c r="Q956" t="inlineStr">
        <is>
          <t>Advances in chemical physics ; v. 88</t>
        </is>
      </c>
      <c r="R956" t="inlineStr">
        <is>
          <t xml:space="preserve">QD </t>
        </is>
      </c>
      <c r="S956" t="n">
        <v>2</v>
      </c>
      <c r="T956" t="n">
        <v>2</v>
      </c>
      <c r="U956" t="inlineStr">
        <is>
          <t>1994-11-10</t>
        </is>
      </c>
      <c r="V956" t="inlineStr">
        <is>
          <t>1994-11-10</t>
        </is>
      </c>
      <c r="W956" t="inlineStr">
        <is>
          <t>1994-06-02</t>
        </is>
      </c>
      <c r="X956" t="inlineStr">
        <is>
          <t>1994-06-02</t>
        </is>
      </c>
      <c r="Y956" t="n">
        <v>193</v>
      </c>
      <c r="Z956" t="n">
        <v>139</v>
      </c>
      <c r="AA956" t="n">
        <v>196</v>
      </c>
      <c r="AB956" t="n">
        <v>1</v>
      </c>
      <c r="AC956" t="n">
        <v>1</v>
      </c>
      <c r="AD956" t="n">
        <v>9</v>
      </c>
      <c r="AE956" t="n">
        <v>9</v>
      </c>
      <c r="AF956" t="n">
        <v>2</v>
      </c>
      <c r="AG956" t="n">
        <v>2</v>
      </c>
      <c r="AH956" t="n">
        <v>2</v>
      </c>
      <c r="AI956" t="n">
        <v>2</v>
      </c>
      <c r="AJ956" t="n">
        <v>7</v>
      </c>
      <c r="AK956" t="n">
        <v>7</v>
      </c>
      <c r="AL956" t="n">
        <v>0</v>
      </c>
      <c r="AM956" t="n">
        <v>0</v>
      </c>
      <c r="AN956" t="n">
        <v>0</v>
      </c>
      <c r="AO956" t="n">
        <v>0</v>
      </c>
      <c r="AP956" t="inlineStr">
        <is>
          <t>No</t>
        </is>
      </c>
      <c r="AQ956" t="inlineStr">
        <is>
          <t>No</t>
        </is>
      </c>
      <c r="AS956">
        <f>HYPERLINK("https://creighton-primo.hosted.exlibrisgroup.com/primo-explore/search?tab=default_tab&amp;search_scope=EVERYTHING&amp;vid=01CRU&amp;lang=en_US&amp;offset=0&amp;query=any,contains,991002326179702656","Catalog Record")</f>
        <v/>
      </c>
      <c r="AT956">
        <f>HYPERLINK("http://www.worldcat.org/oclc/30209378","WorldCat Record")</f>
        <v/>
      </c>
      <c r="AU956" t="inlineStr">
        <is>
          <t>197350507:eng</t>
        </is>
      </c>
      <c r="AV956" t="inlineStr">
        <is>
          <t>30209378</t>
        </is>
      </c>
      <c r="AW956" t="inlineStr">
        <is>
          <t>991002326179702656</t>
        </is>
      </c>
      <c r="AX956" t="inlineStr">
        <is>
          <t>991002326179702656</t>
        </is>
      </c>
      <c r="AY956" t="inlineStr">
        <is>
          <t>2263380820002656</t>
        </is>
      </c>
      <c r="AZ956" t="inlineStr">
        <is>
          <t>BOOK</t>
        </is>
      </c>
      <c r="BB956" t="inlineStr">
        <is>
          <t>9780471585855</t>
        </is>
      </c>
      <c r="BC956" t="inlineStr">
        <is>
          <t>32285001916245</t>
        </is>
      </c>
      <c r="BD956" t="inlineStr">
        <is>
          <t>893867076</t>
        </is>
      </c>
    </row>
    <row r="957">
      <c r="A957" t="inlineStr">
        <is>
          <t>No</t>
        </is>
      </c>
      <c r="B957" t="inlineStr">
        <is>
          <t>QD453 .A27 v.93</t>
        </is>
      </c>
      <c r="C957" t="inlineStr">
        <is>
          <t>0                      QD 0453000A  27                                                      v.93</t>
        </is>
      </c>
      <c r="D957" t="inlineStr">
        <is>
          <t>New methods in computational quantum mechanics / edited by I. Prigogine and Stuart A. Rice.</t>
        </is>
      </c>
      <c r="E957" t="inlineStr">
        <is>
          <t>V. 93</t>
        </is>
      </c>
      <c r="F957" t="inlineStr">
        <is>
          <t>No</t>
        </is>
      </c>
      <c r="G957" t="inlineStr">
        <is>
          <t>1</t>
        </is>
      </c>
      <c r="H957" t="inlineStr">
        <is>
          <t>No</t>
        </is>
      </c>
      <c r="I957" t="inlineStr">
        <is>
          <t>No</t>
        </is>
      </c>
      <c r="J957" t="inlineStr">
        <is>
          <t>0</t>
        </is>
      </c>
      <c r="L957" t="inlineStr">
        <is>
          <t>New York : J. Wiley, c1996.</t>
        </is>
      </c>
      <c r="M957" t="inlineStr">
        <is>
          <t>1996</t>
        </is>
      </c>
      <c r="O957" t="inlineStr">
        <is>
          <t>eng</t>
        </is>
      </c>
      <c r="P957" t="inlineStr">
        <is>
          <t>nyu</t>
        </is>
      </c>
      <c r="Q957" t="inlineStr">
        <is>
          <t>Advances in chemical physics ; v. 93</t>
        </is>
      </c>
      <c r="R957" t="inlineStr">
        <is>
          <t xml:space="preserve">QD </t>
        </is>
      </c>
      <c r="S957" t="n">
        <v>4</v>
      </c>
      <c r="T957" t="n">
        <v>4</v>
      </c>
      <c r="U957" t="inlineStr">
        <is>
          <t>1998-05-05</t>
        </is>
      </c>
      <c r="V957" t="inlineStr">
        <is>
          <t>1998-05-05</t>
        </is>
      </c>
      <c r="W957" t="inlineStr">
        <is>
          <t>1996-05-15</t>
        </is>
      </c>
      <c r="X957" t="inlineStr">
        <is>
          <t>1996-05-15</t>
        </is>
      </c>
      <c r="Y957" t="n">
        <v>222</v>
      </c>
      <c r="Z957" t="n">
        <v>145</v>
      </c>
      <c r="AA957" t="n">
        <v>216</v>
      </c>
      <c r="AB957" t="n">
        <v>1</v>
      </c>
      <c r="AC957" t="n">
        <v>1</v>
      </c>
      <c r="AD957" t="n">
        <v>7</v>
      </c>
      <c r="AE957" t="n">
        <v>7</v>
      </c>
      <c r="AF957" t="n">
        <v>2</v>
      </c>
      <c r="AG957" t="n">
        <v>2</v>
      </c>
      <c r="AH957" t="n">
        <v>0</v>
      </c>
      <c r="AI957" t="n">
        <v>0</v>
      </c>
      <c r="AJ957" t="n">
        <v>6</v>
      </c>
      <c r="AK957" t="n">
        <v>6</v>
      </c>
      <c r="AL957" t="n">
        <v>0</v>
      </c>
      <c r="AM957" t="n">
        <v>0</v>
      </c>
      <c r="AN957" t="n">
        <v>0</v>
      </c>
      <c r="AO957" t="n">
        <v>0</v>
      </c>
      <c r="AP957" t="inlineStr">
        <is>
          <t>No</t>
        </is>
      </c>
      <c r="AQ957" t="inlineStr">
        <is>
          <t>No</t>
        </is>
      </c>
      <c r="AS957">
        <f>HYPERLINK("https://creighton-primo.hosted.exlibrisgroup.com/primo-explore/search?tab=default_tab&amp;search_scope=EVERYTHING&amp;vid=01CRU&amp;lang=en_US&amp;offset=0&amp;query=any,contains,991002647039702656","Catalog Record")</f>
        <v/>
      </c>
      <c r="AT957">
        <f>HYPERLINK("http://www.worldcat.org/oclc/34631124","WorldCat Record")</f>
        <v/>
      </c>
      <c r="AU957" t="inlineStr">
        <is>
          <t>2794633106:eng</t>
        </is>
      </c>
      <c r="AV957" t="inlineStr">
        <is>
          <t>34631124</t>
        </is>
      </c>
      <c r="AW957" t="inlineStr">
        <is>
          <t>991002647039702656</t>
        </is>
      </c>
      <c r="AX957" t="inlineStr">
        <is>
          <t>991002647039702656</t>
        </is>
      </c>
      <c r="AY957" t="inlineStr">
        <is>
          <t>2256821680002656</t>
        </is>
      </c>
      <c r="AZ957" t="inlineStr">
        <is>
          <t>BOOK</t>
        </is>
      </c>
      <c r="BB957" t="inlineStr">
        <is>
          <t>9780471143215</t>
        </is>
      </c>
      <c r="BC957" t="inlineStr">
        <is>
          <t>32285002168523</t>
        </is>
      </c>
      <c r="BD957" t="inlineStr">
        <is>
          <t>893427821</t>
        </is>
      </c>
    </row>
    <row r="958">
      <c r="A958" t="inlineStr">
        <is>
          <t>No</t>
        </is>
      </c>
      <c r="B958" t="inlineStr">
        <is>
          <t>QD453 .B654</t>
        </is>
      </c>
      <c r="C958" t="inlineStr">
        <is>
          <t>0                      QD 0453000B  654</t>
        </is>
      </c>
      <c r="D958" t="inlineStr">
        <is>
          <t>Advanced physical chemistry : a survey of modern theoretical principles / [by] S. M. Blinder.</t>
        </is>
      </c>
      <c r="F958" t="inlineStr">
        <is>
          <t>No</t>
        </is>
      </c>
      <c r="G958" t="inlineStr">
        <is>
          <t>1</t>
        </is>
      </c>
      <c r="H958" t="inlineStr">
        <is>
          <t>No</t>
        </is>
      </c>
      <c r="I958" t="inlineStr">
        <is>
          <t>No</t>
        </is>
      </c>
      <c r="J958" t="inlineStr">
        <is>
          <t>0</t>
        </is>
      </c>
      <c r="K958" t="inlineStr">
        <is>
          <t>Blinder, S. M., 1932-</t>
        </is>
      </c>
      <c r="L958" t="inlineStr">
        <is>
          <t>[New York] : Macmillan, [1969]</t>
        </is>
      </c>
      <c r="M958" t="inlineStr">
        <is>
          <t>1969</t>
        </is>
      </c>
      <c r="O958" t="inlineStr">
        <is>
          <t>eng</t>
        </is>
      </c>
      <c r="P958" t="inlineStr">
        <is>
          <t>nyu</t>
        </is>
      </c>
      <c r="R958" t="inlineStr">
        <is>
          <t xml:space="preserve">QD </t>
        </is>
      </c>
      <c r="S958" t="n">
        <v>7</v>
      </c>
      <c r="T958" t="n">
        <v>7</v>
      </c>
      <c r="U958" t="inlineStr">
        <is>
          <t>2004-02-16</t>
        </is>
      </c>
      <c r="V958" t="inlineStr">
        <is>
          <t>2004-02-16</t>
        </is>
      </c>
      <c r="W958" t="inlineStr">
        <is>
          <t>1993-10-28</t>
        </is>
      </c>
      <c r="X958" t="inlineStr">
        <is>
          <t>1993-10-28</t>
        </is>
      </c>
      <c r="Y958" t="n">
        <v>442</v>
      </c>
      <c r="Z958" t="n">
        <v>360</v>
      </c>
      <c r="AA958" t="n">
        <v>361</v>
      </c>
      <c r="AB958" t="n">
        <v>2</v>
      </c>
      <c r="AC958" t="n">
        <v>2</v>
      </c>
      <c r="AD958" t="n">
        <v>15</v>
      </c>
      <c r="AE958" t="n">
        <v>15</v>
      </c>
      <c r="AF958" t="n">
        <v>5</v>
      </c>
      <c r="AG958" t="n">
        <v>5</v>
      </c>
      <c r="AH958" t="n">
        <v>3</v>
      </c>
      <c r="AI958" t="n">
        <v>3</v>
      </c>
      <c r="AJ958" t="n">
        <v>11</v>
      </c>
      <c r="AK958" t="n">
        <v>11</v>
      </c>
      <c r="AL958" t="n">
        <v>1</v>
      </c>
      <c r="AM958" t="n">
        <v>1</v>
      </c>
      <c r="AN958" t="n">
        <v>0</v>
      </c>
      <c r="AO958" t="n">
        <v>0</v>
      </c>
      <c r="AP958" t="inlineStr">
        <is>
          <t>No</t>
        </is>
      </c>
      <c r="AQ958" t="inlineStr">
        <is>
          <t>Yes</t>
        </is>
      </c>
      <c r="AR958">
        <f>HYPERLINK("http://catalog.hathitrust.org/Record/001423881","HathiTrust Record")</f>
        <v/>
      </c>
      <c r="AS958">
        <f>HYPERLINK("https://creighton-primo.hosted.exlibrisgroup.com/primo-explore/search?tab=default_tab&amp;search_scope=EVERYTHING&amp;vid=01CRU&amp;lang=en_US&amp;offset=0&amp;query=any,contains,991000002769702656","Catalog Record")</f>
        <v/>
      </c>
      <c r="AT958">
        <f>HYPERLINK("http://www.worldcat.org/oclc/11688","WorldCat Record")</f>
        <v/>
      </c>
      <c r="AU958" t="inlineStr">
        <is>
          <t>180500152:eng</t>
        </is>
      </c>
      <c r="AV958" t="inlineStr">
        <is>
          <t>11688</t>
        </is>
      </c>
      <c r="AW958" t="inlineStr">
        <is>
          <t>991000002769702656</t>
        </is>
      </c>
      <c r="AX958" t="inlineStr">
        <is>
          <t>991000002769702656</t>
        </is>
      </c>
      <c r="AY958" t="inlineStr">
        <is>
          <t>2267839600002656</t>
        </is>
      </c>
      <c r="AZ958" t="inlineStr">
        <is>
          <t>BOOK</t>
        </is>
      </c>
      <c r="BC958" t="inlineStr">
        <is>
          <t>32285001795342</t>
        </is>
      </c>
      <c r="BD958" t="inlineStr">
        <is>
          <t>893620088</t>
        </is>
      </c>
    </row>
    <row r="959">
      <c r="A959" t="inlineStr">
        <is>
          <t>No</t>
        </is>
      </c>
      <c r="B959" t="inlineStr">
        <is>
          <t>QD453 .D36</t>
        </is>
      </c>
      <c r="C959" t="inlineStr">
        <is>
          <t>0                      QD 0453000D  36</t>
        </is>
      </c>
      <c r="D959" t="inlineStr">
        <is>
          <t>Advanced physical chemistry : molecules, structure, and spectra / [by] Jeff C. Davis, Jr.</t>
        </is>
      </c>
      <c r="F959" t="inlineStr">
        <is>
          <t>No</t>
        </is>
      </c>
      <c r="G959" t="inlineStr">
        <is>
          <t>1</t>
        </is>
      </c>
      <c r="H959" t="inlineStr">
        <is>
          <t>No</t>
        </is>
      </c>
      <c r="I959" t="inlineStr">
        <is>
          <t>No</t>
        </is>
      </c>
      <c r="J959" t="inlineStr">
        <is>
          <t>0</t>
        </is>
      </c>
      <c r="K959" t="inlineStr">
        <is>
          <t>Davis, Jeff C.</t>
        </is>
      </c>
      <c r="L959" t="inlineStr">
        <is>
          <t>New York : Ronald Press, [1965]</t>
        </is>
      </c>
      <c r="M959" t="inlineStr">
        <is>
          <t>1965</t>
        </is>
      </c>
      <c r="O959" t="inlineStr">
        <is>
          <t>eng</t>
        </is>
      </c>
      <c r="P959" t="inlineStr">
        <is>
          <t>nyu</t>
        </is>
      </c>
      <c r="R959" t="inlineStr">
        <is>
          <t xml:space="preserve">QD </t>
        </is>
      </c>
      <c r="S959" t="n">
        <v>4</v>
      </c>
      <c r="T959" t="n">
        <v>4</v>
      </c>
      <c r="U959" t="inlineStr">
        <is>
          <t>1998-11-06</t>
        </is>
      </c>
      <c r="V959" t="inlineStr">
        <is>
          <t>1998-11-06</t>
        </is>
      </c>
      <c r="W959" t="inlineStr">
        <is>
          <t>1997-09-18</t>
        </is>
      </c>
      <c r="X959" t="inlineStr">
        <is>
          <t>1997-09-18</t>
        </is>
      </c>
      <c r="Y959" t="n">
        <v>511</v>
      </c>
      <c r="Z959" t="n">
        <v>428</v>
      </c>
      <c r="AA959" t="n">
        <v>435</v>
      </c>
      <c r="AB959" t="n">
        <v>3</v>
      </c>
      <c r="AC959" t="n">
        <v>3</v>
      </c>
      <c r="AD959" t="n">
        <v>18</v>
      </c>
      <c r="AE959" t="n">
        <v>18</v>
      </c>
      <c r="AF959" t="n">
        <v>8</v>
      </c>
      <c r="AG959" t="n">
        <v>8</v>
      </c>
      <c r="AH959" t="n">
        <v>3</v>
      </c>
      <c r="AI959" t="n">
        <v>3</v>
      </c>
      <c r="AJ959" t="n">
        <v>9</v>
      </c>
      <c r="AK959" t="n">
        <v>9</v>
      </c>
      <c r="AL959" t="n">
        <v>2</v>
      </c>
      <c r="AM959" t="n">
        <v>2</v>
      </c>
      <c r="AN959" t="n">
        <v>0</v>
      </c>
      <c r="AO959" t="n">
        <v>0</v>
      </c>
      <c r="AP959" t="inlineStr">
        <is>
          <t>No</t>
        </is>
      </c>
      <c r="AQ959" t="inlineStr">
        <is>
          <t>Yes</t>
        </is>
      </c>
      <c r="AR959">
        <f>HYPERLINK("http://catalog.hathitrust.org/Record/001034281","HathiTrust Record")</f>
        <v/>
      </c>
      <c r="AS959">
        <f>HYPERLINK("https://creighton-primo.hosted.exlibrisgroup.com/primo-explore/search?tab=default_tab&amp;search_scope=EVERYTHING&amp;vid=01CRU&amp;lang=en_US&amp;offset=0&amp;query=any,contains,991001918729702656","Catalog Record")</f>
        <v/>
      </c>
      <c r="AT959">
        <f>HYPERLINK("http://www.worldcat.org/oclc/244479","WorldCat Record")</f>
        <v/>
      </c>
      <c r="AU959" t="inlineStr">
        <is>
          <t>866850818:eng</t>
        </is>
      </c>
      <c r="AV959" t="inlineStr">
        <is>
          <t>244479</t>
        </is>
      </c>
      <c r="AW959" t="inlineStr">
        <is>
          <t>991001918729702656</t>
        </is>
      </c>
      <c r="AX959" t="inlineStr">
        <is>
          <t>991001918729702656</t>
        </is>
      </c>
      <c r="AY959" t="inlineStr">
        <is>
          <t>2267605160002656</t>
        </is>
      </c>
      <c r="AZ959" t="inlineStr">
        <is>
          <t>BOOK</t>
        </is>
      </c>
      <c r="BB959" t="inlineStr">
        <is>
          <t>9780471067191</t>
        </is>
      </c>
      <c r="BC959" t="inlineStr">
        <is>
          <t>32285003204053</t>
        </is>
      </c>
      <c r="BD959" t="inlineStr">
        <is>
          <t>893709638</t>
        </is>
      </c>
    </row>
    <row r="960">
      <c r="A960" t="inlineStr">
        <is>
          <t>No</t>
        </is>
      </c>
      <c r="B960" t="inlineStr">
        <is>
          <t>QD453 .G55</t>
        </is>
      </c>
      <c r="C960" t="inlineStr">
        <is>
          <t>0                      QD 0453000G  55</t>
        </is>
      </c>
      <c r="D960" t="inlineStr">
        <is>
          <t>Text-book of physical chemistry / by Samuel Glasstone.</t>
        </is>
      </c>
      <c r="F960" t="inlineStr">
        <is>
          <t>No</t>
        </is>
      </c>
      <c r="G960" t="inlineStr">
        <is>
          <t>1</t>
        </is>
      </c>
      <c r="H960" t="inlineStr">
        <is>
          <t>No</t>
        </is>
      </c>
      <c r="I960" t="inlineStr">
        <is>
          <t>No</t>
        </is>
      </c>
      <c r="J960" t="inlineStr">
        <is>
          <t>0</t>
        </is>
      </c>
      <c r="K960" t="inlineStr">
        <is>
          <t>Glasstone, Samuel, 1897-1986.</t>
        </is>
      </c>
      <c r="L960" t="inlineStr">
        <is>
          <t>New York, D. Van Nostrand company, inc., 1940.</t>
        </is>
      </c>
      <c r="M960" t="inlineStr">
        <is>
          <t>1940</t>
        </is>
      </c>
      <c r="O960" t="inlineStr">
        <is>
          <t>eng</t>
        </is>
      </c>
      <c r="P960" t="inlineStr">
        <is>
          <t>nyu</t>
        </is>
      </c>
      <c r="R960" t="inlineStr">
        <is>
          <t xml:space="preserve">QD </t>
        </is>
      </c>
      <c r="S960" t="n">
        <v>3</v>
      </c>
      <c r="T960" t="n">
        <v>3</v>
      </c>
      <c r="U960" t="inlineStr">
        <is>
          <t>1998-03-18</t>
        </is>
      </c>
      <c r="V960" t="inlineStr">
        <is>
          <t>1998-03-18</t>
        </is>
      </c>
      <c r="W960" t="inlineStr">
        <is>
          <t>1997-09-18</t>
        </is>
      </c>
      <c r="X960" t="inlineStr">
        <is>
          <t>1997-09-18</t>
        </is>
      </c>
      <c r="Y960" t="n">
        <v>172</v>
      </c>
      <c r="Z960" t="n">
        <v>147</v>
      </c>
      <c r="AA960" t="n">
        <v>524</v>
      </c>
      <c r="AB960" t="n">
        <v>2</v>
      </c>
      <c r="AC960" t="n">
        <v>5</v>
      </c>
      <c r="AD960" t="n">
        <v>5</v>
      </c>
      <c r="AE960" t="n">
        <v>21</v>
      </c>
      <c r="AF960" t="n">
        <v>0</v>
      </c>
      <c r="AG960" t="n">
        <v>4</v>
      </c>
      <c r="AH960" t="n">
        <v>1</v>
      </c>
      <c r="AI960" t="n">
        <v>5</v>
      </c>
      <c r="AJ960" t="n">
        <v>4</v>
      </c>
      <c r="AK960" t="n">
        <v>12</v>
      </c>
      <c r="AL960" t="n">
        <v>1</v>
      </c>
      <c r="AM960" t="n">
        <v>4</v>
      </c>
      <c r="AN960" t="n">
        <v>0</v>
      </c>
      <c r="AO960" t="n">
        <v>0</v>
      </c>
      <c r="AP960" t="inlineStr">
        <is>
          <t>Yes</t>
        </is>
      </c>
      <c r="AQ960" t="inlineStr">
        <is>
          <t>No</t>
        </is>
      </c>
      <c r="AR960">
        <f>HYPERLINK("http://catalog.hathitrust.org/Record/001424041","HathiTrust Record")</f>
        <v/>
      </c>
      <c r="AS960">
        <f>HYPERLINK("https://creighton-primo.hosted.exlibrisgroup.com/primo-explore/search?tab=default_tab&amp;search_scope=EVERYTHING&amp;vid=01CRU&amp;lang=en_US&amp;offset=0&amp;query=any,contains,991003286699702656","Catalog Record")</f>
        <v/>
      </c>
      <c r="AT960">
        <f>HYPERLINK("http://www.worldcat.org/oclc/808627","WorldCat Record")</f>
        <v/>
      </c>
      <c r="AU960" t="inlineStr">
        <is>
          <t>1150898881:eng</t>
        </is>
      </c>
      <c r="AV960" t="inlineStr">
        <is>
          <t>808627</t>
        </is>
      </c>
      <c r="AW960" t="inlineStr">
        <is>
          <t>991003286699702656</t>
        </is>
      </c>
      <c r="AX960" t="inlineStr">
        <is>
          <t>991003286699702656</t>
        </is>
      </c>
      <c r="AY960" t="inlineStr">
        <is>
          <t>2266917880002656</t>
        </is>
      </c>
      <c r="AZ960" t="inlineStr">
        <is>
          <t>BOOK</t>
        </is>
      </c>
      <c r="BC960" t="inlineStr">
        <is>
          <t>32285003174306</t>
        </is>
      </c>
      <c r="BD960" t="inlineStr">
        <is>
          <t>893330169</t>
        </is>
      </c>
    </row>
    <row r="961">
      <c r="A961" t="inlineStr">
        <is>
          <t>No</t>
        </is>
      </c>
      <c r="B961" t="inlineStr">
        <is>
          <t>QD453 .I5 topic 1, v.1</t>
        </is>
      </c>
      <c r="C961" t="inlineStr">
        <is>
          <t>0                      QD 0453000I  5                                                       topic 1, v.1</t>
        </is>
      </c>
      <c r="D961" t="inlineStr">
        <is>
          <t>Ordinary differential equations / by E. R. Lapwood.</t>
        </is>
      </c>
      <c r="E961" t="inlineStr">
        <is>
          <t>V. 1</t>
        </is>
      </c>
      <c r="F961" t="inlineStr">
        <is>
          <t>No</t>
        </is>
      </c>
      <c r="G961" t="inlineStr">
        <is>
          <t>1</t>
        </is>
      </c>
      <c r="H961" t="inlineStr">
        <is>
          <t>No</t>
        </is>
      </c>
      <c r="I961" t="inlineStr">
        <is>
          <t>No</t>
        </is>
      </c>
      <c r="J961" t="inlineStr">
        <is>
          <t>0</t>
        </is>
      </c>
      <c r="K961" t="inlineStr">
        <is>
          <t>Lapwood, E. R.</t>
        </is>
      </c>
      <c r="L961" t="inlineStr">
        <is>
          <t>Oxford ; New York : Pergamon Press, [1968]</t>
        </is>
      </c>
      <c r="M961" t="inlineStr">
        <is>
          <t>1968</t>
        </is>
      </c>
      <c r="N961" t="inlineStr">
        <is>
          <t>[1st ed.]</t>
        </is>
      </c>
      <c r="O961" t="inlineStr">
        <is>
          <t>eng</t>
        </is>
      </c>
      <c r="P961" t="inlineStr">
        <is>
          <t>enk</t>
        </is>
      </c>
      <c r="Q961" t="inlineStr">
        <is>
          <t>The International encyclopedia of physical chemistry and chemical physics. Topic 1, Mathematical techniques ; v. 1</t>
        </is>
      </c>
      <c r="R961" t="inlineStr">
        <is>
          <t xml:space="preserve">QD </t>
        </is>
      </c>
      <c r="S961" t="n">
        <v>1</v>
      </c>
      <c r="T961" t="n">
        <v>1</v>
      </c>
      <c r="U961" t="inlineStr">
        <is>
          <t>2009-04-30</t>
        </is>
      </c>
      <c r="V961" t="inlineStr">
        <is>
          <t>2009-04-30</t>
        </is>
      </c>
      <c r="W961" t="inlineStr">
        <is>
          <t>1994-10-04</t>
        </is>
      </c>
      <c r="X961" t="inlineStr">
        <is>
          <t>1994-10-04</t>
        </is>
      </c>
      <c r="Y961" t="n">
        <v>303</v>
      </c>
      <c r="Z961" t="n">
        <v>198</v>
      </c>
      <c r="AA961" t="n">
        <v>205</v>
      </c>
      <c r="AB961" t="n">
        <v>2</v>
      </c>
      <c r="AC961" t="n">
        <v>2</v>
      </c>
      <c r="AD961" t="n">
        <v>10</v>
      </c>
      <c r="AE961" t="n">
        <v>10</v>
      </c>
      <c r="AF961" t="n">
        <v>4</v>
      </c>
      <c r="AG961" t="n">
        <v>4</v>
      </c>
      <c r="AH961" t="n">
        <v>3</v>
      </c>
      <c r="AI961" t="n">
        <v>3</v>
      </c>
      <c r="AJ961" t="n">
        <v>6</v>
      </c>
      <c r="AK961" t="n">
        <v>6</v>
      </c>
      <c r="AL961" t="n">
        <v>1</v>
      </c>
      <c r="AM961" t="n">
        <v>1</v>
      </c>
      <c r="AN961" t="n">
        <v>0</v>
      </c>
      <c r="AO961" t="n">
        <v>0</v>
      </c>
      <c r="AP961" t="inlineStr">
        <is>
          <t>No</t>
        </is>
      </c>
      <c r="AQ961" t="inlineStr">
        <is>
          <t>Yes</t>
        </is>
      </c>
      <c r="AR961">
        <f>HYPERLINK("http://catalog.hathitrust.org/Record/001663148","HathiTrust Record")</f>
        <v/>
      </c>
      <c r="AS961">
        <f>HYPERLINK("https://creighton-primo.hosted.exlibrisgroup.com/primo-explore/search?tab=default_tab&amp;search_scope=EVERYTHING&amp;vid=01CRU&amp;lang=en_US&amp;offset=0&amp;query=any,contains,991002786669702656","Catalog Record")</f>
        <v/>
      </c>
      <c r="AT961">
        <f>HYPERLINK("http://www.worldcat.org/oclc/441892","WorldCat Record")</f>
        <v/>
      </c>
      <c r="AU961" t="inlineStr">
        <is>
          <t>1570084:eng</t>
        </is>
      </c>
      <c r="AV961" t="inlineStr">
        <is>
          <t>441892</t>
        </is>
      </c>
      <c r="AW961" t="inlineStr">
        <is>
          <t>991002786669702656</t>
        </is>
      </c>
      <c r="AX961" t="inlineStr">
        <is>
          <t>991002786669702656</t>
        </is>
      </c>
      <c r="AY961" t="inlineStr">
        <is>
          <t>2255878190002656</t>
        </is>
      </c>
      <c r="AZ961" t="inlineStr">
        <is>
          <t>BOOK</t>
        </is>
      </c>
      <c r="BB961" t="inlineStr">
        <is>
          <t>9780080034096</t>
        </is>
      </c>
      <c r="BC961" t="inlineStr">
        <is>
          <t>32285001953511</t>
        </is>
      </c>
      <c r="BD961" t="inlineStr">
        <is>
          <t>893685776</t>
        </is>
      </c>
    </row>
    <row r="962">
      <c r="A962" t="inlineStr">
        <is>
          <t>No</t>
        </is>
      </c>
      <c r="B962" t="inlineStr">
        <is>
          <t>QD453 .I5 topic 10, v.2</t>
        </is>
      </c>
      <c r="C962" t="inlineStr">
        <is>
          <t>0                      QD 0453000I  5                                                       topic 10, v.2</t>
        </is>
      </c>
      <c r="D962" t="inlineStr">
        <is>
          <t>The virial equation of state / by E. A. Mason and T. H. Spurling.</t>
        </is>
      </c>
      <c r="F962" t="inlineStr">
        <is>
          <t>No</t>
        </is>
      </c>
      <c r="G962" t="inlineStr">
        <is>
          <t>1</t>
        </is>
      </c>
      <c r="H962" t="inlineStr">
        <is>
          <t>No</t>
        </is>
      </c>
      <c r="I962" t="inlineStr">
        <is>
          <t>No</t>
        </is>
      </c>
      <c r="J962" t="inlineStr">
        <is>
          <t>0</t>
        </is>
      </c>
      <c r="K962" t="inlineStr">
        <is>
          <t>Mason, Edward A. (Edward Allen), 1926-1994.</t>
        </is>
      </c>
      <c r="L962" t="inlineStr">
        <is>
          <t>Oxford ; New York : Pergamon Press, [1969]</t>
        </is>
      </c>
      <c r="M962" t="inlineStr">
        <is>
          <t>1969</t>
        </is>
      </c>
      <c r="N962" t="inlineStr">
        <is>
          <t>[1st ed.]</t>
        </is>
      </c>
      <c r="O962" t="inlineStr">
        <is>
          <t>eng</t>
        </is>
      </c>
      <c r="P962" t="inlineStr">
        <is>
          <t>enk</t>
        </is>
      </c>
      <c r="Q962" t="inlineStr">
        <is>
          <t>International encyclopedia of physical chemistry and chemical physics. Topic 10, The fluid state ; v. 2</t>
        </is>
      </c>
      <c r="R962" t="inlineStr">
        <is>
          <t xml:space="preserve">QD </t>
        </is>
      </c>
      <c r="S962" t="n">
        <v>7</v>
      </c>
      <c r="T962" t="n">
        <v>7</v>
      </c>
      <c r="U962" t="inlineStr">
        <is>
          <t>1996-11-08</t>
        </is>
      </c>
      <c r="V962" t="inlineStr">
        <is>
          <t>1996-11-08</t>
        </is>
      </c>
      <c r="W962" t="inlineStr">
        <is>
          <t>1994-10-11</t>
        </is>
      </c>
      <c r="X962" t="inlineStr">
        <is>
          <t>1994-10-11</t>
        </is>
      </c>
      <c r="Y962" t="n">
        <v>293</v>
      </c>
      <c r="Z962" t="n">
        <v>192</v>
      </c>
      <c r="AA962" t="n">
        <v>192</v>
      </c>
      <c r="AB962" t="n">
        <v>3</v>
      </c>
      <c r="AC962" t="n">
        <v>3</v>
      </c>
      <c r="AD962" t="n">
        <v>12</v>
      </c>
      <c r="AE962" t="n">
        <v>12</v>
      </c>
      <c r="AF962" t="n">
        <v>3</v>
      </c>
      <c r="AG962" t="n">
        <v>3</v>
      </c>
      <c r="AH962" t="n">
        <v>3</v>
      </c>
      <c r="AI962" t="n">
        <v>3</v>
      </c>
      <c r="AJ962" t="n">
        <v>8</v>
      </c>
      <c r="AK962" t="n">
        <v>8</v>
      </c>
      <c r="AL962" t="n">
        <v>2</v>
      </c>
      <c r="AM962" t="n">
        <v>2</v>
      </c>
      <c r="AN962" t="n">
        <v>0</v>
      </c>
      <c r="AO962" t="n">
        <v>0</v>
      </c>
      <c r="AP962" t="inlineStr">
        <is>
          <t>No</t>
        </is>
      </c>
      <c r="AQ962" t="inlineStr">
        <is>
          <t>No</t>
        </is>
      </c>
      <c r="AS962">
        <f>HYPERLINK("https://creighton-primo.hosted.exlibrisgroup.com/primo-explore/search?tab=default_tab&amp;search_scope=EVERYTHING&amp;vid=01CRU&amp;lang=en_US&amp;offset=0&amp;query=any,contains,991000532799702656","Catalog Record")</f>
        <v/>
      </c>
      <c r="AT962">
        <f>HYPERLINK("http://www.worldcat.org/oclc/89817","WorldCat Record")</f>
        <v/>
      </c>
      <c r="AU962" t="inlineStr">
        <is>
          <t>9622457012:eng</t>
        </is>
      </c>
      <c r="AV962" t="inlineStr">
        <is>
          <t>89817</t>
        </is>
      </c>
      <c r="AW962" t="inlineStr">
        <is>
          <t>991000532799702656</t>
        </is>
      </c>
      <c r="AX962" t="inlineStr">
        <is>
          <t>991000532799702656</t>
        </is>
      </c>
      <c r="AY962" t="inlineStr">
        <is>
          <t>2259089490002656</t>
        </is>
      </c>
      <c r="AZ962" t="inlineStr">
        <is>
          <t>BOOK</t>
        </is>
      </c>
      <c r="BB962" t="inlineStr">
        <is>
          <t>9780080132921</t>
        </is>
      </c>
      <c r="BC962" t="inlineStr">
        <is>
          <t>32285001960854</t>
        </is>
      </c>
      <c r="BD962" t="inlineStr">
        <is>
          <t>893521761</t>
        </is>
      </c>
    </row>
    <row r="963">
      <c r="A963" t="inlineStr">
        <is>
          <t>No</t>
        </is>
      </c>
      <c r="B963" t="inlineStr">
        <is>
          <t>QD453 .I5 topic 10, v.5</t>
        </is>
      </c>
      <c r="C963" t="inlineStr">
        <is>
          <t>0                      QD 0453000I  5                                                       topic 10, v.5</t>
        </is>
      </c>
      <c r="D963" t="inlineStr">
        <is>
          <t>The perfect gas.</t>
        </is>
      </c>
      <c r="E963" t="inlineStr">
        <is>
          <t>V. 5</t>
        </is>
      </c>
      <c r="F963" t="inlineStr">
        <is>
          <t>No</t>
        </is>
      </c>
      <c r="G963" t="inlineStr">
        <is>
          <t>1</t>
        </is>
      </c>
      <c r="H963" t="inlineStr">
        <is>
          <t>No</t>
        </is>
      </c>
      <c r="I963" t="inlineStr">
        <is>
          <t>No</t>
        </is>
      </c>
      <c r="J963" t="inlineStr">
        <is>
          <t>0</t>
        </is>
      </c>
      <c r="K963" t="inlineStr">
        <is>
          <t>Rowlinson, J. S. (John Shipley), 1926-</t>
        </is>
      </c>
      <c r="L963" t="inlineStr">
        <is>
          <t>[Oxford] : Pergamon Press [distributed by] Macmillan, New York, 1963.</t>
        </is>
      </c>
      <c r="M963" t="inlineStr">
        <is>
          <t>1963</t>
        </is>
      </c>
      <c r="O963" t="inlineStr">
        <is>
          <t>eng</t>
        </is>
      </c>
      <c r="P963" t="inlineStr">
        <is>
          <t>enk</t>
        </is>
      </c>
      <c r="Q963" t="inlineStr">
        <is>
          <t>The International encyclopedia of physical chemistry and chemical physics. Topic 10 ; The fluid state ; v. 5</t>
        </is>
      </c>
      <c r="R963" t="inlineStr">
        <is>
          <t xml:space="preserve">QD </t>
        </is>
      </c>
      <c r="S963" t="n">
        <v>5</v>
      </c>
      <c r="T963" t="n">
        <v>5</v>
      </c>
      <c r="U963" t="inlineStr">
        <is>
          <t>1995-11-12</t>
        </is>
      </c>
      <c r="V963" t="inlineStr">
        <is>
          <t>1995-11-12</t>
        </is>
      </c>
      <c r="W963" t="inlineStr">
        <is>
          <t>1994-10-04</t>
        </is>
      </c>
      <c r="X963" t="inlineStr">
        <is>
          <t>1994-10-04</t>
        </is>
      </c>
      <c r="Y963" t="n">
        <v>337</v>
      </c>
      <c r="Z963" t="n">
        <v>231</v>
      </c>
      <c r="AA963" t="n">
        <v>262</v>
      </c>
      <c r="AB963" t="n">
        <v>4</v>
      </c>
      <c r="AC963" t="n">
        <v>4</v>
      </c>
      <c r="AD963" t="n">
        <v>16</v>
      </c>
      <c r="AE963" t="n">
        <v>16</v>
      </c>
      <c r="AF963" t="n">
        <v>3</v>
      </c>
      <c r="AG963" t="n">
        <v>3</v>
      </c>
      <c r="AH963" t="n">
        <v>5</v>
      </c>
      <c r="AI963" t="n">
        <v>5</v>
      </c>
      <c r="AJ963" t="n">
        <v>11</v>
      </c>
      <c r="AK963" t="n">
        <v>11</v>
      </c>
      <c r="AL963" t="n">
        <v>3</v>
      </c>
      <c r="AM963" t="n">
        <v>3</v>
      </c>
      <c r="AN963" t="n">
        <v>0</v>
      </c>
      <c r="AO963" t="n">
        <v>0</v>
      </c>
      <c r="AP963" t="inlineStr">
        <is>
          <t>No</t>
        </is>
      </c>
      <c r="AQ963" t="inlineStr">
        <is>
          <t>Yes</t>
        </is>
      </c>
      <c r="AR963">
        <f>HYPERLINK("http://catalog.hathitrust.org/Record/001656813","HathiTrust Record")</f>
        <v/>
      </c>
      <c r="AS963">
        <f>HYPERLINK("https://creighton-primo.hosted.exlibrisgroup.com/primo-explore/search?tab=default_tab&amp;search_scope=EVERYTHING&amp;vid=01CRU&amp;lang=en_US&amp;offset=0&amp;query=any,contains,991002978129702656","Catalog Record")</f>
        <v/>
      </c>
      <c r="AT963">
        <f>HYPERLINK("http://www.worldcat.org/oclc/553130","WorldCat Record")</f>
        <v/>
      </c>
      <c r="AU963" t="inlineStr">
        <is>
          <t>1602602:eng</t>
        </is>
      </c>
      <c r="AV963" t="inlineStr">
        <is>
          <t>553130</t>
        </is>
      </c>
      <c r="AW963" t="inlineStr">
        <is>
          <t>991002978129702656</t>
        </is>
      </c>
      <c r="AX963" t="inlineStr">
        <is>
          <t>991002978129702656</t>
        </is>
      </c>
      <c r="AY963" t="inlineStr">
        <is>
          <t>2259013120002656</t>
        </is>
      </c>
      <c r="AZ963" t="inlineStr">
        <is>
          <t>BOOK</t>
        </is>
      </c>
      <c r="BC963" t="inlineStr">
        <is>
          <t>32285001953586</t>
        </is>
      </c>
      <c r="BD963" t="inlineStr">
        <is>
          <t>893227534</t>
        </is>
      </c>
    </row>
    <row r="964">
      <c r="A964" t="inlineStr">
        <is>
          <t>No</t>
        </is>
      </c>
      <c r="B964" t="inlineStr">
        <is>
          <t>QD453 .I5 topic 14, v.3</t>
        </is>
      </c>
      <c r="C964" t="inlineStr">
        <is>
          <t>0                      QD 0453000I  5                                                       topic 14, v.3</t>
        </is>
      </c>
      <c r="D964" t="inlineStr">
        <is>
          <t>The interaction of gases with solid surfaces / by William A. Steele.</t>
        </is>
      </c>
      <c r="E964" t="inlineStr">
        <is>
          <t>V. 3</t>
        </is>
      </c>
      <c r="F964" t="inlineStr">
        <is>
          <t>No</t>
        </is>
      </c>
      <c r="G964" t="inlineStr">
        <is>
          <t>1</t>
        </is>
      </c>
      <c r="H964" t="inlineStr">
        <is>
          <t>No</t>
        </is>
      </c>
      <c r="I964" t="inlineStr">
        <is>
          <t>No</t>
        </is>
      </c>
      <c r="J964" t="inlineStr">
        <is>
          <t>0</t>
        </is>
      </c>
      <c r="K964" t="inlineStr">
        <is>
          <t>Steele, William A. (William Arthur), 1930-</t>
        </is>
      </c>
      <c r="L964" t="inlineStr">
        <is>
          <t>Oxford ; New York : Pergamon Press, [1974]</t>
        </is>
      </c>
      <c r="M964" t="inlineStr">
        <is>
          <t>1974</t>
        </is>
      </c>
      <c r="N964" t="inlineStr">
        <is>
          <t>[1st ed.]</t>
        </is>
      </c>
      <c r="O964" t="inlineStr">
        <is>
          <t>eng</t>
        </is>
      </c>
      <c r="P964" t="inlineStr">
        <is>
          <t>enk</t>
        </is>
      </c>
      <c r="Q964" t="inlineStr">
        <is>
          <t>The International encyclopedia of physical chemistry and chemical physics. Topic 14 ; Properties of interfaces ; v. 3</t>
        </is>
      </c>
      <c r="R964" t="inlineStr">
        <is>
          <t xml:space="preserve">QD </t>
        </is>
      </c>
      <c r="S964" t="n">
        <v>4</v>
      </c>
      <c r="T964" t="n">
        <v>4</v>
      </c>
      <c r="U964" t="inlineStr">
        <is>
          <t>2000-05-05</t>
        </is>
      </c>
      <c r="V964" t="inlineStr">
        <is>
          <t>2000-05-05</t>
        </is>
      </c>
      <c r="W964" t="inlineStr">
        <is>
          <t>1994-10-04</t>
        </is>
      </c>
      <c r="X964" t="inlineStr">
        <is>
          <t>1994-10-04</t>
        </is>
      </c>
      <c r="Y964" t="n">
        <v>252</v>
      </c>
      <c r="Z964" t="n">
        <v>147</v>
      </c>
      <c r="AA964" t="n">
        <v>155</v>
      </c>
      <c r="AB964" t="n">
        <v>3</v>
      </c>
      <c r="AC964" t="n">
        <v>3</v>
      </c>
      <c r="AD964" t="n">
        <v>11</v>
      </c>
      <c r="AE964" t="n">
        <v>11</v>
      </c>
      <c r="AF964" t="n">
        <v>3</v>
      </c>
      <c r="AG964" t="n">
        <v>3</v>
      </c>
      <c r="AH964" t="n">
        <v>2</v>
      </c>
      <c r="AI964" t="n">
        <v>2</v>
      </c>
      <c r="AJ964" t="n">
        <v>9</v>
      </c>
      <c r="AK964" t="n">
        <v>9</v>
      </c>
      <c r="AL964" t="n">
        <v>2</v>
      </c>
      <c r="AM964" t="n">
        <v>2</v>
      </c>
      <c r="AN964" t="n">
        <v>0</v>
      </c>
      <c r="AO964" t="n">
        <v>0</v>
      </c>
      <c r="AP964" t="inlineStr">
        <is>
          <t>No</t>
        </is>
      </c>
      <c r="AQ964" t="inlineStr">
        <is>
          <t>Yes</t>
        </is>
      </c>
      <c r="AR964">
        <f>HYPERLINK("http://catalog.hathitrust.org/Record/010517929","HathiTrust Record")</f>
        <v/>
      </c>
      <c r="AS964">
        <f>HYPERLINK("https://creighton-primo.hosted.exlibrisgroup.com/primo-explore/search?tab=default_tab&amp;search_scope=EVERYTHING&amp;vid=01CRU&amp;lang=en_US&amp;offset=0&amp;query=any,contains,991005356849702656","Catalog Record")</f>
        <v/>
      </c>
      <c r="AT964">
        <f>HYPERLINK("http://www.worldcat.org/oclc/793454","WorldCat Record")</f>
        <v/>
      </c>
      <c r="AU964" t="inlineStr">
        <is>
          <t>1750313:eng</t>
        </is>
      </c>
      <c r="AV964" t="inlineStr">
        <is>
          <t>793454</t>
        </is>
      </c>
      <c r="AW964" t="inlineStr">
        <is>
          <t>991005356849702656</t>
        </is>
      </c>
      <c r="AX964" t="inlineStr">
        <is>
          <t>991005356849702656</t>
        </is>
      </c>
      <c r="AY964" t="inlineStr">
        <is>
          <t>2263181410002656</t>
        </is>
      </c>
      <c r="AZ964" t="inlineStr">
        <is>
          <t>BOOK</t>
        </is>
      </c>
      <c r="BB964" t="inlineStr">
        <is>
          <t>9780080177243</t>
        </is>
      </c>
      <c r="BC964" t="inlineStr">
        <is>
          <t>32285001953602</t>
        </is>
      </c>
      <c r="BD964" t="inlineStr">
        <is>
          <t>893789870</t>
        </is>
      </c>
    </row>
    <row r="965">
      <c r="A965" t="inlineStr">
        <is>
          <t>No</t>
        </is>
      </c>
      <c r="B965" t="inlineStr">
        <is>
          <t>QD453 .I5 topic 15, v.3</t>
        </is>
      </c>
      <c r="C965" t="inlineStr">
        <is>
          <t>0                      QD 0453000I  5                                                       topic 15, v.3</t>
        </is>
      </c>
      <c r="D965" t="inlineStr">
        <is>
          <t>Ionic equilibria / by J.E. Prue.</t>
        </is>
      </c>
      <c r="E965" t="inlineStr">
        <is>
          <t>V. 3</t>
        </is>
      </c>
      <c r="F965" t="inlineStr">
        <is>
          <t>No</t>
        </is>
      </c>
      <c r="G965" t="inlineStr">
        <is>
          <t>1</t>
        </is>
      </c>
      <c r="H965" t="inlineStr">
        <is>
          <t>No</t>
        </is>
      </c>
      <c r="I965" t="inlineStr">
        <is>
          <t>No</t>
        </is>
      </c>
      <c r="J965" t="inlineStr">
        <is>
          <t>0</t>
        </is>
      </c>
      <c r="K965" t="inlineStr">
        <is>
          <t>Prue, J. E.</t>
        </is>
      </c>
      <c r="L965" t="inlineStr">
        <is>
          <t>Oxford ; New York : Pergamon Press, [1966]</t>
        </is>
      </c>
      <c r="M965" t="inlineStr">
        <is>
          <t>1966</t>
        </is>
      </c>
      <c r="N965" t="inlineStr">
        <is>
          <t>[1st ed.]</t>
        </is>
      </c>
      <c r="O965" t="inlineStr">
        <is>
          <t>eng</t>
        </is>
      </c>
      <c r="P965" t="inlineStr">
        <is>
          <t>enk</t>
        </is>
      </c>
      <c r="Q965" t="inlineStr">
        <is>
          <t>The International encyclopedia of physical chemistry and chemical physics. Topic 15 ; Equilibrium properties of electrolyte solutions ; v. 3</t>
        </is>
      </c>
      <c r="R965" t="inlineStr">
        <is>
          <t xml:space="preserve">QD </t>
        </is>
      </c>
      <c r="S965" t="n">
        <v>2</v>
      </c>
      <c r="T965" t="n">
        <v>2</v>
      </c>
      <c r="U965" t="inlineStr">
        <is>
          <t>2009-04-30</t>
        </is>
      </c>
      <c r="V965" t="inlineStr">
        <is>
          <t>2009-04-30</t>
        </is>
      </c>
      <c r="W965" t="inlineStr">
        <is>
          <t>1994-10-04</t>
        </is>
      </c>
      <c r="X965" t="inlineStr">
        <is>
          <t>1994-10-04</t>
        </is>
      </c>
      <c r="Y965" t="n">
        <v>331</v>
      </c>
      <c r="Z965" t="n">
        <v>220</v>
      </c>
      <c r="AA965" t="n">
        <v>222</v>
      </c>
      <c r="AB965" t="n">
        <v>4</v>
      </c>
      <c r="AC965" t="n">
        <v>4</v>
      </c>
      <c r="AD965" t="n">
        <v>12</v>
      </c>
      <c r="AE965" t="n">
        <v>12</v>
      </c>
      <c r="AF965" t="n">
        <v>2</v>
      </c>
      <c r="AG965" t="n">
        <v>2</v>
      </c>
      <c r="AH965" t="n">
        <v>4</v>
      </c>
      <c r="AI965" t="n">
        <v>4</v>
      </c>
      <c r="AJ965" t="n">
        <v>8</v>
      </c>
      <c r="AK965" t="n">
        <v>8</v>
      </c>
      <c r="AL965" t="n">
        <v>3</v>
      </c>
      <c r="AM965" t="n">
        <v>3</v>
      </c>
      <c r="AN965" t="n">
        <v>0</v>
      </c>
      <c r="AO965" t="n">
        <v>0</v>
      </c>
      <c r="AP965" t="inlineStr">
        <is>
          <t>No</t>
        </is>
      </c>
      <c r="AQ965" t="inlineStr">
        <is>
          <t>Yes</t>
        </is>
      </c>
      <c r="AR965">
        <f>HYPERLINK("http://catalog.hathitrust.org/Record/002046391","HathiTrust Record")</f>
        <v/>
      </c>
      <c r="AS965">
        <f>HYPERLINK("https://creighton-primo.hosted.exlibrisgroup.com/primo-explore/search?tab=default_tab&amp;search_scope=EVERYTHING&amp;vid=01CRU&amp;lang=en_US&amp;offset=0&amp;query=any,contains,991002973699702656","Catalog Record")</f>
        <v/>
      </c>
      <c r="AT965">
        <f>HYPERLINK("http://www.worldcat.org/oclc/550780","WorldCat Record")</f>
        <v/>
      </c>
      <c r="AU965" t="inlineStr">
        <is>
          <t>1595857:eng</t>
        </is>
      </c>
      <c r="AV965" t="inlineStr">
        <is>
          <t>550780</t>
        </is>
      </c>
      <c r="AW965" t="inlineStr">
        <is>
          <t>991002973699702656</t>
        </is>
      </c>
      <c r="AX965" t="inlineStr">
        <is>
          <t>991002973699702656</t>
        </is>
      </c>
      <c r="AY965" t="inlineStr">
        <is>
          <t>2258116590002656</t>
        </is>
      </c>
      <c r="AZ965" t="inlineStr">
        <is>
          <t>BOOK</t>
        </is>
      </c>
      <c r="BC965" t="inlineStr">
        <is>
          <t>32285001953628</t>
        </is>
      </c>
      <c r="BD965" t="inlineStr">
        <is>
          <t>893422019</t>
        </is>
      </c>
    </row>
    <row r="966">
      <c r="A966" t="inlineStr">
        <is>
          <t>No</t>
        </is>
      </c>
      <c r="B966" t="inlineStr">
        <is>
          <t>QD453 .I5 topic 6, v.1</t>
        </is>
      </c>
      <c r="C966" t="inlineStr">
        <is>
          <t>0                      QD 0453000I  5                                                       topic 6, v.1</t>
        </is>
      </c>
      <c r="D966" t="inlineStr">
        <is>
          <t>Elements of the kinetic theory of gases.</t>
        </is>
      </c>
      <c r="E966" t="inlineStr">
        <is>
          <t>V. 1</t>
        </is>
      </c>
      <c r="F966" t="inlineStr">
        <is>
          <t>No</t>
        </is>
      </c>
      <c r="G966" t="inlineStr">
        <is>
          <t>1</t>
        </is>
      </c>
      <c r="H966" t="inlineStr">
        <is>
          <t>No</t>
        </is>
      </c>
      <c r="I966" t="inlineStr">
        <is>
          <t>No</t>
        </is>
      </c>
      <c r="J966" t="inlineStr">
        <is>
          <t>0</t>
        </is>
      </c>
      <c r="K966" t="inlineStr">
        <is>
          <t>Guggenheim, E. A. (Edward Armand), 1901-1970.</t>
        </is>
      </c>
      <c r="L966" t="inlineStr">
        <is>
          <t>Oxford ; New York : Pergamon Press, 1960.</t>
        </is>
      </c>
      <c r="M966" t="inlineStr">
        <is>
          <t>1960</t>
        </is>
      </c>
      <c r="O966" t="inlineStr">
        <is>
          <t>eng</t>
        </is>
      </c>
      <c r="P966" t="inlineStr">
        <is>
          <t>enk</t>
        </is>
      </c>
      <c r="Q966" t="inlineStr">
        <is>
          <t>The International encyclopedia of physical chemistry and chemical physics. Topic 6 ; The kinetic theory of gases ; v. 1</t>
        </is>
      </c>
      <c r="R966" t="inlineStr">
        <is>
          <t xml:space="preserve">QD </t>
        </is>
      </c>
      <c r="S966" t="n">
        <v>1</v>
      </c>
      <c r="T966" t="n">
        <v>1</v>
      </c>
      <c r="U966" t="inlineStr">
        <is>
          <t>1995-02-26</t>
        </is>
      </c>
      <c r="V966" t="inlineStr">
        <is>
          <t>1995-02-26</t>
        </is>
      </c>
      <c r="W966" t="inlineStr">
        <is>
          <t>1994-10-04</t>
        </is>
      </c>
      <c r="X966" t="inlineStr">
        <is>
          <t>1994-10-04</t>
        </is>
      </c>
      <c r="Y966" t="n">
        <v>466</v>
      </c>
      <c r="Z966" t="n">
        <v>324</v>
      </c>
      <c r="AA966" t="n">
        <v>335</v>
      </c>
      <c r="AB966" t="n">
        <v>4</v>
      </c>
      <c r="AC966" t="n">
        <v>4</v>
      </c>
      <c r="AD966" t="n">
        <v>18</v>
      </c>
      <c r="AE966" t="n">
        <v>18</v>
      </c>
      <c r="AF966" t="n">
        <v>5</v>
      </c>
      <c r="AG966" t="n">
        <v>5</v>
      </c>
      <c r="AH966" t="n">
        <v>5</v>
      </c>
      <c r="AI966" t="n">
        <v>5</v>
      </c>
      <c r="AJ966" t="n">
        <v>12</v>
      </c>
      <c r="AK966" t="n">
        <v>12</v>
      </c>
      <c r="AL966" t="n">
        <v>3</v>
      </c>
      <c r="AM966" t="n">
        <v>3</v>
      </c>
      <c r="AN966" t="n">
        <v>0</v>
      </c>
      <c r="AO966" t="n">
        <v>0</v>
      </c>
      <c r="AP966" t="inlineStr">
        <is>
          <t>No</t>
        </is>
      </c>
      <c r="AQ966" t="inlineStr">
        <is>
          <t>Yes</t>
        </is>
      </c>
      <c r="AR966">
        <f>HYPERLINK("http://catalog.hathitrust.org/Record/001656809","HathiTrust Record")</f>
        <v/>
      </c>
      <c r="AS966">
        <f>HYPERLINK("https://creighton-primo.hosted.exlibrisgroup.com/primo-explore/search?tab=default_tab&amp;search_scope=EVERYTHING&amp;vid=01CRU&amp;lang=en_US&amp;offset=0&amp;query=any,contains,991002269219702656","Catalog Record")</f>
        <v/>
      </c>
      <c r="AT966">
        <f>HYPERLINK("http://www.worldcat.org/oclc/307656","WorldCat Record")</f>
        <v/>
      </c>
      <c r="AU966" t="inlineStr">
        <is>
          <t>157884803:eng</t>
        </is>
      </c>
      <c r="AV966" t="inlineStr">
        <is>
          <t>307656</t>
        </is>
      </c>
      <c r="AW966" t="inlineStr">
        <is>
          <t>991002269219702656</t>
        </is>
      </c>
      <c r="AX966" t="inlineStr">
        <is>
          <t>991002269219702656</t>
        </is>
      </c>
      <c r="AY966" t="inlineStr">
        <is>
          <t>2264600330002656</t>
        </is>
      </c>
      <c r="AZ966" t="inlineStr">
        <is>
          <t>BOOK</t>
        </is>
      </c>
      <c r="BC966" t="inlineStr">
        <is>
          <t>32285001953545</t>
        </is>
      </c>
      <c r="BD966" t="inlineStr">
        <is>
          <t>893721372</t>
        </is>
      </c>
    </row>
    <row r="967">
      <c r="A967" t="inlineStr">
        <is>
          <t>No</t>
        </is>
      </c>
      <c r="B967" t="inlineStr">
        <is>
          <t>QD453 .K39</t>
        </is>
      </c>
      <c r="C967" t="inlineStr">
        <is>
          <t>0                      QD 0453000K  39</t>
        </is>
      </c>
      <c r="D967" t="inlineStr">
        <is>
          <t>Quantum chemistry : an introduction.</t>
        </is>
      </c>
      <c r="F967" t="inlineStr">
        <is>
          <t>No</t>
        </is>
      </c>
      <c r="G967" t="inlineStr">
        <is>
          <t>1</t>
        </is>
      </c>
      <c r="H967" t="inlineStr">
        <is>
          <t>No</t>
        </is>
      </c>
      <c r="I967" t="inlineStr">
        <is>
          <t>No</t>
        </is>
      </c>
      <c r="J967" t="inlineStr">
        <is>
          <t>0</t>
        </is>
      </c>
      <c r="K967" t="inlineStr">
        <is>
          <t>Kauzmann, Walter, 1916-</t>
        </is>
      </c>
      <c r="L967" t="inlineStr">
        <is>
          <t>New York : Academic Press, 1957.</t>
        </is>
      </c>
      <c r="M967" t="inlineStr">
        <is>
          <t>1957</t>
        </is>
      </c>
      <c r="O967" t="inlineStr">
        <is>
          <t>eng</t>
        </is>
      </c>
      <c r="P967" t="inlineStr">
        <is>
          <t>nyu</t>
        </is>
      </c>
      <c r="R967" t="inlineStr">
        <is>
          <t xml:space="preserve">QD </t>
        </is>
      </c>
      <c r="S967" t="n">
        <v>10</v>
      </c>
      <c r="T967" t="n">
        <v>10</v>
      </c>
      <c r="U967" t="inlineStr">
        <is>
          <t>2008-03-28</t>
        </is>
      </c>
      <c r="V967" t="inlineStr">
        <is>
          <t>2008-03-28</t>
        </is>
      </c>
      <c r="W967" t="inlineStr">
        <is>
          <t>1993-10-25</t>
        </is>
      </c>
      <c r="X967" t="inlineStr">
        <is>
          <t>1993-10-25</t>
        </is>
      </c>
      <c r="Y967" t="n">
        <v>715</v>
      </c>
      <c r="Z967" t="n">
        <v>571</v>
      </c>
      <c r="AA967" t="n">
        <v>611</v>
      </c>
      <c r="AB967" t="n">
        <v>6</v>
      </c>
      <c r="AC967" t="n">
        <v>6</v>
      </c>
      <c r="AD967" t="n">
        <v>27</v>
      </c>
      <c r="AE967" t="n">
        <v>28</v>
      </c>
      <c r="AF967" t="n">
        <v>11</v>
      </c>
      <c r="AG967" t="n">
        <v>12</v>
      </c>
      <c r="AH967" t="n">
        <v>4</v>
      </c>
      <c r="AI967" t="n">
        <v>4</v>
      </c>
      <c r="AJ967" t="n">
        <v>13</v>
      </c>
      <c r="AK967" t="n">
        <v>13</v>
      </c>
      <c r="AL967" t="n">
        <v>5</v>
      </c>
      <c r="AM967" t="n">
        <v>5</v>
      </c>
      <c r="AN967" t="n">
        <v>0</v>
      </c>
      <c r="AO967" t="n">
        <v>0</v>
      </c>
      <c r="AP967" t="inlineStr">
        <is>
          <t>No</t>
        </is>
      </c>
      <c r="AQ967" t="inlineStr">
        <is>
          <t>Yes</t>
        </is>
      </c>
      <c r="AR967">
        <f>HYPERLINK("http://catalog.hathitrust.org/Record/001484228","HathiTrust Record")</f>
        <v/>
      </c>
      <c r="AS967">
        <f>HYPERLINK("https://creighton-primo.hosted.exlibrisgroup.com/primo-explore/search?tab=default_tab&amp;search_scope=EVERYTHING&amp;vid=01CRU&amp;lang=en_US&amp;offset=0&amp;query=any,contains,991002961639702656","Catalog Record")</f>
        <v/>
      </c>
      <c r="AT967">
        <f>HYPERLINK("http://www.worldcat.org/oclc/544124","WorldCat Record")</f>
        <v/>
      </c>
      <c r="AU967" t="inlineStr">
        <is>
          <t>1574926:eng</t>
        </is>
      </c>
      <c r="AV967" t="inlineStr">
        <is>
          <t>544124</t>
        </is>
      </c>
      <c r="AW967" t="inlineStr">
        <is>
          <t>991002961639702656</t>
        </is>
      </c>
      <c r="AX967" t="inlineStr">
        <is>
          <t>991002961639702656</t>
        </is>
      </c>
      <c r="AY967" t="inlineStr">
        <is>
          <t>2268084490002656</t>
        </is>
      </c>
      <c r="AZ967" t="inlineStr">
        <is>
          <t>BOOK</t>
        </is>
      </c>
      <c r="BC967" t="inlineStr">
        <is>
          <t>32285001794642</t>
        </is>
      </c>
      <c r="BD967" t="inlineStr">
        <is>
          <t>893717148</t>
        </is>
      </c>
    </row>
    <row r="968">
      <c r="A968" t="inlineStr">
        <is>
          <t>No</t>
        </is>
      </c>
      <c r="B968" t="inlineStr">
        <is>
          <t>QD453 .K47 1963</t>
        </is>
      </c>
      <c r="C968" t="inlineStr">
        <is>
          <t>0                      QD 0453000K  47          1963</t>
        </is>
      </c>
      <c r="D968" t="inlineStr">
        <is>
          <t>Physical chemistry.</t>
        </is>
      </c>
      <c r="F968" t="inlineStr">
        <is>
          <t>No</t>
        </is>
      </c>
      <c r="G968" t="inlineStr">
        <is>
          <t>1</t>
        </is>
      </c>
      <c r="H968" t="inlineStr">
        <is>
          <t>No</t>
        </is>
      </c>
      <c r="I968" t="inlineStr">
        <is>
          <t>No</t>
        </is>
      </c>
      <c r="J968" t="inlineStr">
        <is>
          <t>0</t>
        </is>
      </c>
      <c r="K968" t="inlineStr">
        <is>
          <t>Kittsley, Scott L.</t>
        </is>
      </c>
      <c r="L968" t="inlineStr">
        <is>
          <t>New York : Barnes &amp; Noble, [1963]</t>
        </is>
      </c>
      <c r="M968" t="inlineStr">
        <is>
          <t>1963</t>
        </is>
      </c>
      <c r="N968" t="inlineStr">
        <is>
          <t>2d ed.</t>
        </is>
      </c>
      <c r="O968" t="inlineStr">
        <is>
          <t>eng</t>
        </is>
      </c>
      <c r="P968" t="inlineStr">
        <is>
          <t>nyu</t>
        </is>
      </c>
      <c r="Q968" t="inlineStr">
        <is>
          <t>College outlines series, no. 97</t>
        </is>
      </c>
      <c r="R968" t="inlineStr">
        <is>
          <t xml:space="preserve">QD </t>
        </is>
      </c>
      <c r="S968" t="n">
        <v>3</v>
      </c>
      <c r="T968" t="n">
        <v>3</v>
      </c>
      <c r="U968" t="inlineStr">
        <is>
          <t>2005-04-08</t>
        </is>
      </c>
      <c r="V968" t="inlineStr">
        <is>
          <t>2005-04-08</t>
        </is>
      </c>
      <c r="W968" t="inlineStr">
        <is>
          <t>1993-11-19</t>
        </is>
      </c>
      <c r="X968" t="inlineStr">
        <is>
          <t>1993-11-19</t>
        </is>
      </c>
      <c r="Y968" t="n">
        <v>76</v>
      </c>
      <c r="Z968" t="n">
        <v>55</v>
      </c>
      <c r="AA968" t="n">
        <v>117</v>
      </c>
      <c r="AB968" t="n">
        <v>1</v>
      </c>
      <c r="AC968" t="n">
        <v>1</v>
      </c>
      <c r="AD968" t="n">
        <v>1</v>
      </c>
      <c r="AE968" t="n">
        <v>3</v>
      </c>
      <c r="AF968" t="n">
        <v>0</v>
      </c>
      <c r="AG968" t="n">
        <v>1</v>
      </c>
      <c r="AH968" t="n">
        <v>1</v>
      </c>
      <c r="AI968" t="n">
        <v>1</v>
      </c>
      <c r="AJ968" t="n">
        <v>1</v>
      </c>
      <c r="AK968" t="n">
        <v>3</v>
      </c>
      <c r="AL968" t="n">
        <v>0</v>
      </c>
      <c r="AM968" t="n">
        <v>0</v>
      </c>
      <c r="AN968" t="n">
        <v>0</v>
      </c>
      <c r="AO968" t="n">
        <v>0</v>
      </c>
      <c r="AP968" t="inlineStr">
        <is>
          <t>No</t>
        </is>
      </c>
      <c r="AQ968" t="inlineStr">
        <is>
          <t>No</t>
        </is>
      </c>
      <c r="AS968">
        <f>HYPERLINK("https://creighton-primo.hosted.exlibrisgroup.com/primo-explore/search?tab=default_tab&amp;search_scope=EVERYTHING&amp;vid=01CRU&amp;lang=en_US&amp;offset=0&amp;query=any,contains,991002965159702656","Catalog Record")</f>
        <v/>
      </c>
      <c r="AT968">
        <f>HYPERLINK("http://www.worldcat.org/oclc/545509","WorldCat Record")</f>
        <v/>
      </c>
      <c r="AU968" t="inlineStr">
        <is>
          <t>3377251120:eng</t>
        </is>
      </c>
      <c r="AV968" t="inlineStr">
        <is>
          <t>545509</t>
        </is>
      </c>
      <c r="AW968" t="inlineStr">
        <is>
          <t>991002965159702656</t>
        </is>
      </c>
      <c r="AX968" t="inlineStr">
        <is>
          <t>991002965159702656</t>
        </is>
      </c>
      <c r="AY968" t="inlineStr">
        <is>
          <t>2264510800002656</t>
        </is>
      </c>
      <c r="AZ968" t="inlineStr">
        <is>
          <t>BOOK</t>
        </is>
      </c>
      <c r="BC968" t="inlineStr">
        <is>
          <t>32285001687804</t>
        </is>
      </c>
      <c r="BD968" t="inlineStr">
        <is>
          <t>893880662</t>
        </is>
      </c>
    </row>
    <row r="969">
      <c r="A969" t="inlineStr">
        <is>
          <t>No</t>
        </is>
      </c>
      <c r="B969" t="inlineStr">
        <is>
          <t>QD453 .P28</t>
        </is>
      </c>
      <c r="C969" t="inlineStr">
        <is>
          <t>0                      QD 0453000P  28</t>
        </is>
      </c>
      <c r="D969" t="inlineStr">
        <is>
          <t>An advanced treatise on physical chemistry / by J.R. Partington.</t>
        </is>
      </c>
      <c r="E969" t="inlineStr">
        <is>
          <t>V. 2</t>
        </is>
      </c>
      <c r="F969" t="inlineStr">
        <is>
          <t>Yes</t>
        </is>
      </c>
      <c r="G969" t="inlineStr">
        <is>
          <t>1</t>
        </is>
      </c>
      <c r="H969" t="inlineStr">
        <is>
          <t>No</t>
        </is>
      </c>
      <c r="I969" t="inlineStr">
        <is>
          <t>No</t>
        </is>
      </c>
      <c r="J969" t="inlineStr">
        <is>
          <t>0</t>
        </is>
      </c>
      <c r="K969" t="inlineStr">
        <is>
          <t>Partington, J. R. (James Riddick), 1886-1965.</t>
        </is>
      </c>
      <c r="L969" t="inlineStr">
        <is>
          <t>London ; New York : Longmans, Green, 1949-</t>
        </is>
      </c>
      <c r="M969" t="inlineStr">
        <is>
          <t>1949</t>
        </is>
      </c>
      <c r="O969" t="inlineStr">
        <is>
          <t>eng</t>
        </is>
      </c>
      <c r="P969" t="inlineStr">
        <is>
          <t>nyu</t>
        </is>
      </c>
      <c r="R969" t="inlineStr">
        <is>
          <t xml:space="preserve">QD </t>
        </is>
      </c>
      <c r="S969" t="n">
        <v>0</v>
      </c>
      <c r="T969" t="n">
        <v>2</v>
      </c>
      <c r="V969" t="inlineStr">
        <is>
          <t>2009-04-30</t>
        </is>
      </c>
      <c r="W969" t="inlineStr">
        <is>
          <t>2000-01-10</t>
        </is>
      </c>
      <c r="X969" t="inlineStr">
        <is>
          <t>2000-01-10</t>
        </is>
      </c>
      <c r="Y969" t="n">
        <v>596</v>
      </c>
      <c r="Z969" t="n">
        <v>475</v>
      </c>
      <c r="AA969" t="n">
        <v>477</v>
      </c>
      <c r="AB969" t="n">
        <v>6</v>
      </c>
      <c r="AC969" t="n">
        <v>6</v>
      </c>
      <c r="AD969" t="n">
        <v>24</v>
      </c>
      <c r="AE969" t="n">
        <v>24</v>
      </c>
      <c r="AF969" t="n">
        <v>7</v>
      </c>
      <c r="AG969" t="n">
        <v>7</v>
      </c>
      <c r="AH969" t="n">
        <v>5</v>
      </c>
      <c r="AI969" t="n">
        <v>5</v>
      </c>
      <c r="AJ969" t="n">
        <v>13</v>
      </c>
      <c r="AK969" t="n">
        <v>13</v>
      </c>
      <c r="AL969" t="n">
        <v>5</v>
      </c>
      <c r="AM969" t="n">
        <v>5</v>
      </c>
      <c r="AN969" t="n">
        <v>0</v>
      </c>
      <c r="AO969" t="n">
        <v>0</v>
      </c>
      <c r="AP969" t="inlineStr">
        <is>
          <t>No</t>
        </is>
      </c>
      <c r="AQ969" t="inlineStr">
        <is>
          <t>Yes</t>
        </is>
      </c>
      <c r="AR969">
        <f>HYPERLINK("http://catalog.hathitrust.org/Record/001113929","HathiTrust Record")</f>
        <v/>
      </c>
      <c r="AS969">
        <f>HYPERLINK("https://creighton-primo.hosted.exlibrisgroup.com/primo-explore/search?tab=default_tab&amp;search_scope=EVERYTHING&amp;vid=01CRU&amp;lang=en_US&amp;offset=0&amp;query=any,contains,991002961569702656","Catalog Record")</f>
        <v/>
      </c>
      <c r="AT969">
        <f>HYPERLINK("http://www.worldcat.org/oclc/544118","WorldCat Record")</f>
        <v/>
      </c>
      <c r="AU969" t="inlineStr">
        <is>
          <t>3769301042:eng</t>
        </is>
      </c>
      <c r="AV969" t="inlineStr">
        <is>
          <t>544118</t>
        </is>
      </c>
      <c r="AW969" t="inlineStr">
        <is>
          <t>991002961569702656</t>
        </is>
      </c>
      <c r="AX969" t="inlineStr">
        <is>
          <t>991002961569702656</t>
        </is>
      </c>
      <c r="AY969" t="inlineStr">
        <is>
          <t>2268132640002656</t>
        </is>
      </c>
      <c r="AZ969" t="inlineStr">
        <is>
          <t>BOOK</t>
        </is>
      </c>
      <c r="BC969" t="inlineStr">
        <is>
          <t>32285003638821</t>
        </is>
      </c>
      <c r="BD969" t="inlineStr">
        <is>
          <t>893893217</t>
        </is>
      </c>
    </row>
    <row r="970">
      <c r="A970" t="inlineStr">
        <is>
          <t>No</t>
        </is>
      </c>
      <c r="B970" t="inlineStr">
        <is>
          <t>QD453 .P28</t>
        </is>
      </c>
      <c r="C970" t="inlineStr">
        <is>
          <t>0                      QD 0453000P  28</t>
        </is>
      </c>
      <c r="D970" t="inlineStr">
        <is>
          <t>An advanced treatise on physical chemistry / by J.R. Partington.</t>
        </is>
      </c>
      <c r="E970" t="inlineStr">
        <is>
          <t>V. 1</t>
        </is>
      </c>
      <c r="F970" t="inlineStr">
        <is>
          <t>Yes</t>
        </is>
      </c>
      <c r="G970" t="inlineStr">
        <is>
          <t>1</t>
        </is>
      </c>
      <c r="H970" t="inlineStr">
        <is>
          <t>No</t>
        </is>
      </c>
      <c r="I970" t="inlineStr">
        <is>
          <t>No</t>
        </is>
      </c>
      <c r="J970" t="inlineStr">
        <is>
          <t>0</t>
        </is>
      </c>
      <c r="K970" t="inlineStr">
        <is>
          <t>Partington, J. R. (James Riddick), 1886-1965.</t>
        </is>
      </c>
      <c r="L970" t="inlineStr">
        <is>
          <t>London ; New York : Longmans, Green, 1949-</t>
        </is>
      </c>
      <c r="M970" t="inlineStr">
        <is>
          <t>1949</t>
        </is>
      </c>
      <c r="O970" t="inlineStr">
        <is>
          <t>eng</t>
        </is>
      </c>
      <c r="P970" t="inlineStr">
        <is>
          <t>nyu</t>
        </is>
      </c>
      <c r="R970" t="inlineStr">
        <is>
          <t xml:space="preserve">QD </t>
        </is>
      </c>
      <c r="S970" t="n">
        <v>1</v>
      </c>
      <c r="T970" t="n">
        <v>2</v>
      </c>
      <c r="U970" t="inlineStr">
        <is>
          <t>2009-04-30</t>
        </is>
      </c>
      <c r="V970" t="inlineStr">
        <is>
          <t>2009-04-30</t>
        </is>
      </c>
      <c r="W970" t="inlineStr">
        <is>
          <t>2000-01-10</t>
        </is>
      </c>
      <c r="X970" t="inlineStr">
        <is>
          <t>2000-01-10</t>
        </is>
      </c>
      <c r="Y970" t="n">
        <v>596</v>
      </c>
      <c r="Z970" t="n">
        <v>475</v>
      </c>
      <c r="AA970" t="n">
        <v>477</v>
      </c>
      <c r="AB970" t="n">
        <v>6</v>
      </c>
      <c r="AC970" t="n">
        <v>6</v>
      </c>
      <c r="AD970" t="n">
        <v>24</v>
      </c>
      <c r="AE970" t="n">
        <v>24</v>
      </c>
      <c r="AF970" t="n">
        <v>7</v>
      </c>
      <c r="AG970" t="n">
        <v>7</v>
      </c>
      <c r="AH970" t="n">
        <v>5</v>
      </c>
      <c r="AI970" t="n">
        <v>5</v>
      </c>
      <c r="AJ970" t="n">
        <v>13</v>
      </c>
      <c r="AK970" t="n">
        <v>13</v>
      </c>
      <c r="AL970" t="n">
        <v>5</v>
      </c>
      <c r="AM970" t="n">
        <v>5</v>
      </c>
      <c r="AN970" t="n">
        <v>0</v>
      </c>
      <c r="AO970" t="n">
        <v>0</v>
      </c>
      <c r="AP970" t="inlineStr">
        <is>
          <t>No</t>
        </is>
      </c>
      <c r="AQ970" t="inlineStr">
        <is>
          <t>Yes</t>
        </is>
      </c>
      <c r="AR970">
        <f>HYPERLINK("http://catalog.hathitrust.org/Record/001113929","HathiTrust Record")</f>
        <v/>
      </c>
      <c r="AS970">
        <f>HYPERLINK("https://creighton-primo.hosted.exlibrisgroup.com/primo-explore/search?tab=default_tab&amp;search_scope=EVERYTHING&amp;vid=01CRU&amp;lang=en_US&amp;offset=0&amp;query=any,contains,991002961569702656","Catalog Record")</f>
        <v/>
      </c>
      <c r="AT970">
        <f>HYPERLINK("http://www.worldcat.org/oclc/544118","WorldCat Record")</f>
        <v/>
      </c>
      <c r="AU970" t="inlineStr">
        <is>
          <t>3769301042:eng</t>
        </is>
      </c>
      <c r="AV970" t="inlineStr">
        <is>
          <t>544118</t>
        </is>
      </c>
      <c r="AW970" t="inlineStr">
        <is>
          <t>991002961569702656</t>
        </is>
      </c>
      <c r="AX970" t="inlineStr">
        <is>
          <t>991002961569702656</t>
        </is>
      </c>
      <c r="AY970" t="inlineStr">
        <is>
          <t>2268132640002656</t>
        </is>
      </c>
      <c r="AZ970" t="inlineStr">
        <is>
          <t>BOOK</t>
        </is>
      </c>
      <c r="BC970" t="inlineStr">
        <is>
          <t>32285003638813</t>
        </is>
      </c>
      <c r="BD970" t="inlineStr">
        <is>
          <t>893893218</t>
        </is>
      </c>
    </row>
    <row r="971">
      <c r="A971" t="inlineStr">
        <is>
          <t>No</t>
        </is>
      </c>
      <c r="B971" t="inlineStr">
        <is>
          <t>QD453 .P28</t>
        </is>
      </c>
      <c r="C971" t="inlineStr">
        <is>
          <t>0                      QD 0453000P  28</t>
        </is>
      </c>
      <c r="D971" t="inlineStr">
        <is>
          <t>An advanced treatise on physical chemistry / by J.R. Partington.</t>
        </is>
      </c>
      <c r="E971" t="inlineStr">
        <is>
          <t>V. 4</t>
        </is>
      </c>
      <c r="F971" t="inlineStr">
        <is>
          <t>Yes</t>
        </is>
      </c>
      <c r="G971" t="inlineStr">
        <is>
          <t>1</t>
        </is>
      </c>
      <c r="H971" t="inlineStr">
        <is>
          <t>No</t>
        </is>
      </c>
      <c r="I971" t="inlineStr">
        <is>
          <t>No</t>
        </is>
      </c>
      <c r="J971" t="inlineStr">
        <is>
          <t>0</t>
        </is>
      </c>
      <c r="K971" t="inlineStr">
        <is>
          <t>Partington, J. R. (James Riddick), 1886-1965.</t>
        </is>
      </c>
      <c r="L971" t="inlineStr">
        <is>
          <t>London ; New York : Longmans, Green, 1949-</t>
        </is>
      </c>
      <c r="M971" t="inlineStr">
        <is>
          <t>1949</t>
        </is>
      </c>
      <c r="O971" t="inlineStr">
        <is>
          <t>eng</t>
        </is>
      </c>
      <c r="P971" t="inlineStr">
        <is>
          <t>nyu</t>
        </is>
      </c>
      <c r="R971" t="inlineStr">
        <is>
          <t xml:space="preserve">QD </t>
        </is>
      </c>
      <c r="S971" t="n">
        <v>0</v>
      </c>
      <c r="T971" t="n">
        <v>2</v>
      </c>
      <c r="V971" t="inlineStr">
        <is>
          <t>2009-04-30</t>
        </is>
      </c>
      <c r="W971" t="inlineStr">
        <is>
          <t>2000-01-10</t>
        </is>
      </c>
      <c r="X971" t="inlineStr">
        <is>
          <t>2000-01-10</t>
        </is>
      </c>
      <c r="Y971" t="n">
        <v>596</v>
      </c>
      <c r="Z971" t="n">
        <v>475</v>
      </c>
      <c r="AA971" t="n">
        <v>477</v>
      </c>
      <c r="AB971" t="n">
        <v>6</v>
      </c>
      <c r="AC971" t="n">
        <v>6</v>
      </c>
      <c r="AD971" t="n">
        <v>24</v>
      </c>
      <c r="AE971" t="n">
        <v>24</v>
      </c>
      <c r="AF971" t="n">
        <v>7</v>
      </c>
      <c r="AG971" t="n">
        <v>7</v>
      </c>
      <c r="AH971" t="n">
        <v>5</v>
      </c>
      <c r="AI971" t="n">
        <v>5</v>
      </c>
      <c r="AJ971" t="n">
        <v>13</v>
      </c>
      <c r="AK971" t="n">
        <v>13</v>
      </c>
      <c r="AL971" t="n">
        <v>5</v>
      </c>
      <c r="AM971" t="n">
        <v>5</v>
      </c>
      <c r="AN971" t="n">
        <v>0</v>
      </c>
      <c r="AO971" t="n">
        <v>0</v>
      </c>
      <c r="AP971" t="inlineStr">
        <is>
          <t>No</t>
        </is>
      </c>
      <c r="AQ971" t="inlineStr">
        <is>
          <t>Yes</t>
        </is>
      </c>
      <c r="AR971">
        <f>HYPERLINK("http://catalog.hathitrust.org/Record/001113929","HathiTrust Record")</f>
        <v/>
      </c>
      <c r="AS971">
        <f>HYPERLINK("https://creighton-primo.hosted.exlibrisgroup.com/primo-explore/search?tab=default_tab&amp;search_scope=EVERYTHING&amp;vid=01CRU&amp;lang=en_US&amp;offset=0&amp;query=any,contains,991002961569702656","Catalog Record")</f>
        <v/>
      </c>
      <c r="AT971">
        <f>HYPERLINK("http://www.worldcat.org/oclc/544118","WorldCat Record")</f>
        <v/>
      </c>
      <c r="AU971" t="inlineStr">
        <is>
          <t>3769301042:eng</t>
        </is>
      </c>
      <c r="AV971" t="inlineStr">
        <is>
          <t>544118</t>
        </is>
      </c>
      <c r="AW971" t="inlineStr">
        <is>
          <t>991002961569702656</t>
        </is>
      </c>
      <c r="AX971" t="inlineStr">
        <is>
          <t>991002961569702656</t>
        </is>
      </c>
      <c r="AY971" t="inlineStr">
        <is>
          <t>2268132640002656</t>
        </is>
      </c>
      <c r="AZ971" t="inlineStr">
        <is>
          <t>BOOK</t>
        </is>
      </c>
      <c r="BC971" t="inlineStr">
        <is>
          <t>32285003638847</t>
        </is>
      </c>
      <c r="BD971" t="inlineStr">
        <is>
          <t>893893216</t>
        </is>
      </c>
    </row>
    <row r="972">
      <c r="A972" t="inlineStr">
        <is>
          <t>No</t>
        </is>
      </c>
      <c r="B972" t="inlineStr">
        <is>
          <t>QD453 .P28</t>
        </is>
      </c>
      <c r="C972" t="inlineStr">
        <is>
          <t>0                      QD 0453000P  28</t>
        </is>
      </c>
      <c r="D972" t="inlineStr">
        <is>
          <t>An advanced treatise on physical chemistry / by J.R. Partington.</t>
        </is>
      </c>
      <c r="E972" t="inlineStr">
        <is>
          <t>V. 3</t>
        </is>
      </c>
      <c r="F972" t="inlineStr">
        <is>
          <t>Yes</t>
        </is>
      </c>
      <c r="G972" t="inlineStr">
        <is>
          <t>1</t>
        </is>
      </c>
      <c r="H972" t="inlineStr">
        <is>
          <t>No</t>
        </is>
      </c>
      <c r="I972" t="inlineStr">
        <is>
          <t>No</t>
        </is>
      </c>
      <c r="J972" t="inlineStr">
        <is>
          <t>0</t>
        </is>
      </c>
      <c r="K972" t="inlineStr">
        <is>
          <t>Partington, J. R. (James Riddick), 1886-1965.</t>
        </is>
      </c>
      <c r="L972" t="inlineStr">
        <is>
          <t>London ; New York : Longmans, Green, 1949-</t>
        </is>
      </c>
      <c r="M972" t="inlineStr">
        <is>
          <t>1949</t>
        </is>
      </c>
      <c r="O972" t="inlineStr">
        <is>
          <t>eng</t>
        </is>
      </c>
      <c r="P972" t="inlineStr">
        <is>
          <t>nyu</t>
        </is>
      </c>
      <c r="R972" t="inlineStr">
        <is>
          <t xml:space="preserve">QD </t>
        </is>
      </c>
      <c r="S972" t="n">
        <v>0</v>
      </c>
      <c r="T972" t="n">
        <v>2</v>
      </c>
      <c r="V972" t="inlineStr">
        <is>
          <t>2009-04-30</t>
        </is>
      </c>
      <c r="W972" t="inlineStr">
        <is>
          <t>2000-01-10</t>
        </is>
      </c>
      <c r="X972" t="inlineStr">
        <is>
          <t>2000-01-10</t>
        </is>
      </c>
      <c r="Y972" t="n">
        <v>596</v>
      </c>
      <c r="Z972" t="n">
        <v>475</v>
      </c>
      <c r="AA972" t="n">
        <v>477</v>
      </c>
      <c r="AB972" t="n">
        <v>6</v>
      </c>
      <c r="AC972" t="n">
        <v>6</v>
      </c>
      <c r="AD972" t="n">
        <v>24</v>
      </c>
      <c r="AE972" t="n">
        <v>24</v>
      </c>
      <c r="AF972" t="n">
        <v>7</v>
      </c>
      <c r="AG972" t="n">
        <v>7</v>
      </c>
      <c r="AH972" t="n">
        <v>5</v>
      </c>
      <c r="AI972" t="n">
        <v>5</v>
      </c>
      <c r="AJ972" t="n">
        <v>13</v>
      </c>
      <c r="AK972" t="n">
        <v>13</v>
      </c>
      <c r="AL972" t="n">
        <v>5</v>
      </c>
      <c r="AM972" t="n">
        <v>5</v>
      </c>
      <c r="AN972" t="n">
        <v>0</v>
      </c>
      <c r="AO972" t="n">
        <v>0</v>
      </c>
      <c r="AP972" t="inlineStr">
        <is>
          <t>No</t>
        </is>
      </c>
      <c r="AQ972" t="inlineStr">
        <is>
          <t>Yes</t>
        </is>
      </c>
      <c r="AR972">
        <f>HYPERLINK("http://catalog.hathitrust.org/Record/001113929","HathiTrust Record")</f>
        <v/>
      </c>
      <c r="AS972">
        <f>HYPERLINK("https://creighton-primo.hosted.exlibrisgroup.com/primo-explore/search?tab=default_tab&amp;search_scope=EVERYTHING&amp;vid=01CRU&amp;lang=en_US&amp;offset=0&amp;query=any,contains,991002961569702656","Catalog Record")</f>
        <v/>
      </c>
      <c r="AT972">
        <f>HYPERLINK("http://www.worldcat.org/oclc/544118","WorldCat Record")</f>
        <v/>
      </c>
      <c r="AU972" t="inlineStr">
        <is>
          <t>3769301042:eng</t>
        </is>
      </c>
      <c r="AV972" t="inlineStr">
        <is>
          <t>544118</t>
        </is>
      </c>
      <c r="AW972" t="inlineStr">
        <is>
          <t>991002961569702656</t>
        </is>
      </c>
      <c r="AX972" t="inlineStr">
        <is>
          <t>991002961569702656</t>
        </is>
      </c>
      <c r="AY972" t="inlineStr">
        <is>
          <t>2268132640002656</t>
        </is>
      </c>
      <c r="AZ972" t="inlineStr">
        <is>
          <t>BOOK</t>
        </is>
      </c>
      <c r="BC972" t="inlineStr">
        <is>
          <t>32285003638839</t>
        </is>
      </c>
      <c r="BD972" t="inlineStr">
        <is>
          <t>893893219</t>
        </is>
      </c>
    </row>
    <row r="973">
      <c r="A973" t="inlineStr">
        <is>
          <t>No</t>
        </is>
      </c>
      <c r="B973" t="inlineStr">
        <is>
          <t>QD453 .P28</t>
        </is>
      </c>
      <c r="C973" t="inlineStr">
        <is>
          <t>0                      QD 0453000P  28</t>
        </is>
      </c>
      <c r="D973" t="inlineStr">
        <is>
          <t>An advanced treatise on physical chemistry / by J.R. Partington.</t>
        </is>
      </c>
      <c r="E973" t="inlineStr">
        <is>
          <t>V. 5</t>
        </is>
      </c>
      <c r="F973" t="inlineStr">
        <is>
          <t>Yes</t>
        </is>
      </c>
      <c r="G973" t="inlineStr">
        <is>
          <t>1</t>
        </is>
      </c>
      <c r="H973" t="inlineStr">
        <is>
          <t>No</t>
        </is>
      </c>
      <c r="I973" t="inlineStr">
        <is>
          <t>No</t>
        </is>
      </c>
      <c r="J973" t="inlineStr">
        <is>
          <t>0</t>
        </is>
      </c>
      <c r="K973" t="inlineStr">
        <is>
          <t>Partington, J. R. (James Riddick), 1886-1965.</t>
        </is>
      </c>
      <c r="L973" t="inlineStr">
        <is>
          <t>London ; New York : Longmans, Green, 1949-</t>
        </is>
      </c>
      <c r="M973" t="inlineStr">
        <is>
          <t>1949</t>
        </is>
      </c>
      <c r="O973" t="inlineStr">
        <is>
          <t>eng</t>
        </is>
      </c>
      <c r="P973" t="inlineStr">
        <is>
          <t>nyu</t>
        </is>
      </c>
      <c r="R973" t="inlineStr">
        <is>
          <t xml:space="preserve">QD </t>
        </is>
      </c>
      <c r="S973" t="n">
        <v>1</v>
      </c>
      <c r="T973" t="n">
        <v>2</v>
      </c>
      <c r="U973" t="inlineStr">
        <is>
          <t>2009-04-30</t>
        </is>
      </c>
      <c r="V973" t="inlineStr">
        <is>
          <t>2009-04-30</t>
        </is>
      </c>
      <c r="W973" t="inlineStr">
        <is>
          <t>2000-01-10</t>
        </is>
      </c>
      <c r="X973" t="inlineStr">
        <is>
          <t>2000-01-10</t>
        </is>
      </c>
      <c r="Y973" t="n">
        <v>596</v>
      </c>
      <c r="Z973" t="n">
        <v>475</v>
      </c>
      <c r="AA973" t="n">
        <v>477</v>
      </c>
      <c r="AB973" t="n">
        <v>6</v>
      </c>
      <c r="AC973" t="n">
        <v>6</v>
      </c>
      <c r="AD973" t="n">
        <v>24</v>
      </c>
      <c r="AE973" t="n">
        <v>24</v>
      </c>
      <c r="AF973" t="n">
        <v>7</v>
      </c>
      <c r="AG973" t="n">
        <v>7</v>
      </c>
      <c r="AH973" t="n">
        <v>5</v>
      </c>
      <c r="AI973" t="n">
        <v>5</v>
      </c>
      <c r="AJ973" t="n">
        <v>13</v>
      </c>
      <c r="AK973" t="n">
        <v>13</v>
      </c>
      <c r="AL973" t="n">
        <v>5</v>
      </c>
      <c r="AM973" t="n">
        <v>5</v>
      </c>
      <c r="AN973" t="n">
        <v>0</v>
      </c>
      <c r="AO973" t="n">
        <v>0</v>
      </c>
      <c r="AP973" t="inlineStr">
        <is>
          <t>No</t>
        </is>
      </c>
      <c r="AQ973" t="inlineStr">
        <is>
          <t>Yes</t>
        </is>
      </c>
      <c r="AR973">
        <f>HYPERLINK("http://catalog.hathitrust.org/Record/001113929","HathiTrust Record")</f>
        <v/>
      </c>
      <c r="AS973">
        <f>HYPERLINK("https://creighton-primo.hosted.exlibrisgroup.com/primo-explore/search?tab=default_tab&amp;search_scope=EVERYTHING&amp;vid=01CRU&amp;lang=en_US&amp;offset=0&amp;query=any,contains,991002961569702656","Catalog Record")</f>
        <v/>
      </c>
      <c r="AT973">
        <f>HYPERLINK("http://www.worldcat.org/oclc/544118","WorldCat Record")</f>
        <v/>
      </c>
      <c r="AU973" t="inlineStr">
        <is>
          <t>3769301042:eng</t>
        </is>
      </c>
      <c r="AV973" t="inlineStr">
        <is>
          <t>544118</t>
        </is>
      </c>
      <c r="AW973" t="inlineStr">
        <is>
          <t>991002961569702656</t>
        </is>
      </c>
      <c r="AX973" t="inlineStr">
        <is>
          <t>991002961569702656</t>
        </is>
      </c>
      <c r="AY973" t="inlineStr">
        <is>
          <t>2268132640002656</t>
        </is>
      </c>
      <c r="AZ973" t="inlineStr">
        <is>
          <t>BOOK</t>
        </is>
      </c>
      <c r="BC973" t="inlineStr">
        <is>
          <t>32285003638854</t>
        </is>
      </c>
      <c r="BD973" t="inlineStr">
        <is>
          <t>893880655</t>
        </is>
      </c>
    </row>
    <row r="974">
      <c r="A974" t="inlineStr">
        <is>
          <t>No</t>
        </is>
      </c>
      <c r="B974" t="inlineStr">
        <is>
          <t>QD453 .P33</t>
        </is>
      </c>
      <c r="C974" t="inlineStr">
        <is>
          <t>0                      QD 0453000P  33</t>
        </is>
      </c>
      <c r="D974" t="inlineStr">
        <is>
          <t>Physical chemistry.</t>
        </is>
      </c>
      <c r="F974" t="inlineStr">
        <is>
          <t>No</t>
        </is>
      </c>
      <c r="G974" t="inlineStr">
        <is>
          <t>1</t>
        </is>
      </c>
      <c r="H974" t="inlineStr">
        <is>
          <t>No</t>
        </is>
      </c>
      <c r="I974" t="inlineStr">
        <is>
          <t>No</t>
        </is>
      </c>
      <c r="J974" t="inlineStr">
        <is>
          <t>0</t>
        </is>
      </c>
      <c r="K974" t="inlineStr">
        <is>
          <t>Paul, Martin A. (Martin Ambrose), 1910-</t>
        </is>
      </c>
      <c r="L974" t="inlineStr">
        <is>
          <t>Boston, Heath [1962]</t>
        </is>
      </c>
      <c r="M974" t="inlineStr">
        <is>
          <t>1962</t>
        </is>
      </c>
      <c r="O974" t="inlineStr">
        <is>
          <t>eng</t>
        </is>
      </c>
      <c r="P974" t="inlineStr">
        <is>
          <t>mau</t>
        </is>
      </c>
      <c r="R974" t="inlineStr">
        <is>
          <t xml:space="preserve">QD </t>
        </is>
      </c>
      <c r="S974" t="n">
        <v>2</v>
      </c>
      <c r="T974" t="n">
        <v>2</v>
      </c>
      <c r="U974" t="inlineStr">
        <is>
          <t>1998-03-23</t>
        </is>
      </c>
      <c r="V974" t="inlineStr">
        <is>
          <t>1998-03-23</t>
        </is>
      </c>
      <c r="W974" t="inlineStr">
        <is>
          <t>1997-06-12</t>
        </is>
      </c>
      <c r="X974" t="inlineStr">
        <is>
          <t>1997-06-12</t>
        </is>
      </c>
      <c r="Y974" t="n">
        <v>142</v>
      </c>
      <c r="Z974" t="n">
        <v>115</v>
      </c>
      <c r="AA974" t="n">
        <v>121</v>
      </c>
      <c r="AB974" t="n">
        <v>1</v>
      </c>
      <c r="AC974" t="n">
        <v>1</v>
      </c>
      <c r="AD974" t="n">
        <v>3</v>
      </c>
      <c r="AE974" t="n">
        <v>3</v>
      </c>
      <c r="AF974" t="n">
        <v>1</v>
      </c>
      <c r="AG974" t="n">
        <v>1</v>
      </c>
      <c r="AH974" t="n">
        <v>0</v>
      </c>
      <c r="AI974" t="n">
        <v>0</v>
      </c>
      <c r="AJ974" t="n">
        <v>3</v>
      </c>
      <c r="AK974" t="n">
        <v>3</v>
      </c>
      <c r="AL974" t="n">
        <v>0</v>
      </c>
      <c r="AM974" t="n">
        <v>0</v>
      </c>
      <c r="AN974" t="n">
        <v>0</v>
      </c>
      <c r="AO974" t="n">
        <v>0</v>
      </c>
      <c r="AP974" t="inlineStr">
        <is>
          <t>Yes</t>
        </is>
      </c>
      <c r="AQ974" t="inlineStr">
        <is>
          <t>No</t>
        </is>
      </c>
      <c r="AR974">
        <f>HYPERLINK("http://catalog.hathitrust.org/Record/001034328","HathiTrust Record")</f>
        <v/>
      </c>
      <c r="AS974">
        <f>HYPERLINK("https://creighton-primo.hosted.exlibrisgroup.com/primo-explore/search?tab=default_tab&amp;search_scope=EVERYTHING&amp;vid=01CRU&amp;lang=en_US&amp;offset=0&amp;query=any,contains,991003145759702656","Catalog Record")</f>
        <v/>
      </c>
      <c r="AT974">
        <f>HYPERLINK("http://www.worldcat.org/oclc/686133","WorldCat Record")</f>
        <v/>
      </c>
      <c r="AU974" t="inlineStr">
        <is>
          <t>890037944:eng</t>
        </is>
      </c>
      <c r="AV974" t="inlineStr">
        <is>
          <t>686133</t>
        </is>
      </c>
      <c r="AW974" t="inlineStr">
        <is>
          <t>991003145759702656</t>
        </is>
      </c>
      <c r="AX974" t="inlineStr">
        <is>
          <t>991003145759702656</t>
        </is>
      </c>
      <c r="AY974" t="inlineStr">
        <is>
          <t>2265005900002656</t>
        </is>
      </c>
      <c r="AZ974" t="inlineStr">
        <is>
          <t>BOOK</t>
        </is>
      </c>
      <c r="BC974" t="inlineStr">
        <is>
          <t>32285002805694</t>
        </is>
      </c>
      <c r="BD974" t="inlineStr">
        <is>
          <t>893440971</t>
        </is>
      </c>
    </row>
    <row r="975">
      <c r="A975" t="inlineStr">
        <is>
          <t>No</t>
        </is>
      </c>
      <c r="B975" t="inlineStr">
        <is>
          <t>QD453 .P55 v. 1</t>
        </is>
      </c>
      <c r="C975" t="inlineStr">
        <is>
          <t>0                      QD 0453000P  55                                                      v. 1</t>
        </is>
      </c>
      <c r="D975" t="inlineStr">
        <is>
          <t>Thermodynamics / edited by Wilhelm Jost.</t>
        </is>
      </c>
      <c r="E975" t="inlineStr">
        <is>
          <t>v. 1*</t>
        </is>
      </c>
      <c r="F975" t="inlineStr">
        <is>
          <t>No</t>
        </is>
      </c>
      <c r="G975" t="inlineStr">
        <is>
          <t>1</t>
        </is>
      </c>
      <c r="H975" t="inlineStr">
        <is>
          <t>No</t>
        </is>
      </c>
      <c r="I975" t="inlineStr">
        <is>
          <t>No</t>
        </is>
      </c>
      <c r="J975" t="inlineStr">
        <is>
          <t>0</t>
        </is>
      </c>
      <c r="L975" t="inlineStr">
        <is>
          <t>New York : Academic Press, 1971.</t>
        </is>
      </c>
      <c r="M975" t="inlineStr">
        <is>
          <t>1971</t>
        </is>
      </c>
      <c r="O975" t="inlineStr">
        <is>
          <t>eng</t>
        </is>
      </c>
      <c r="P975" t="inlineStr">
        <is>
          <t>nyu</t>
        </is>
      </c>
      <c r="Q975" t="inlineStr">
        <is>
          <t>Physical chemistry, an advanced treatise ; v. 1</t>
        </is>
      </c>
      <c r="R975" t="inlineStr">
        <is>
          <t xml:space="preserve">QD </t>
        </is>
      </c>
      <c r="S975" t="n">
        <v>1</v>
      </c>
      <c r="T975" t="n">
        <v>1</v>
      </c>
      <c r="U975" t="inlineStr">
        <is>
          <t>2009-04-30</t>
        </is>
      </c>
      <c r="V975" t="inlineStr">
        <is>
          <t>2009-04-30</t>
        </is>
      </c>
      <c r="W975" t="inlineStr">
        <is>
          <t>1993-10-06</t>
        </is>
      </c>
      <c r="X975" t="inlineStr">
        <is>
          <t>1993-10-06</t>
        </is>
      </c>
      <c r="Y975" t="n">
        <v>312</v>
      </c>
      <c r="Z975" t="n">
        <v>238</v>
      </c>
      <c r="AA975" t="n">
        <v>271</v>
      </c>
      <c r="AB975" t="n">
        <v>3</v>
      </c>
      <c r="AC975" t="n">
        <v>3</v>
      </c>
      <c r="AD975" t="n">
        <v>14</v>
      </c>
      <c r="AE975" t="n">
        <v>16</v>
      </c>
      <c r="AF975" t="n">
        <v>5</v>
      </c>
      <c r="AG975" t="n">
        <v>6</v>
      </c>
      <c r="AH975" t="n">
        <v>3</v>
      </c>
      <c r="AI975" t="n">
        <v>4</v>
      </c>
      <c r="AJ975" t="n">
        <v>10</v>
      </c>
      <c r="AK975" t="n">
        <v>10</v>
      </c>
      <c r="AL975" t="n">
        <v>2</v>
      </c>
      <c r="AM975" t="n">
        <v>2</v>
      </c>
      <c r="AN975" t="n">
        <v>0</v>
      </c>
      <c r="AO975" t="n">
        <v>0</v>
      </c>
      <c r="AP975" t="inlineStr">
        <is>
          <t>No</t>
        </is>
      </c>
      <c r="AQ975" t="inlineStr">
        <is>
          <t>Yes</t>
        </is>
      </c>
      <c r="AR975">
        <f>HYPERLINK("http://catalog.hathitrust.org/Record/004534303","HathiTrust Record")</f>
        <v/>
      </c>
      <c r="AS975">
        <f>HYPERLINK("https://creighton-primo.hosted.exlibrisgroup.com/primo-explore/search?tab=default_tab&amp;search_scope=EVERYTHING&amp;vid=01CRU&amp;lang=en_US&amp;offset=0&amp;query=any,contains,991000891929702656","Catalog Record")</f>
        <v/>
      </c>
      <c r="AT975">
        <f>HYPERLINK("http://www.worldcat.org/oclc/154461","WorldCat Record")</f>
        <v/>
      </c>
      <c r="AU975" t="inlineStr">
        <is>
          <t>53942035:eng</t>
        </is>
      </c>
      <c r="AV975" t="inlineStr">
        <is>
          <t>154461</t>
        </is>
      </c>
      <c r="AW975" t="inlineStr">
        <is>
          <t>991000891929702656</t>
        </is>
      </c>
      <c r="AX975" t="inlineStr">
        <is>
          <t>991000891929702656</t>
        </is>
      </c>
      <c r="AY975" t="inlineStr">
        <is>
          <t>2254975130002656</t>
        </is>
      </c>
      <c r="AZ975" t="inlineStr">
        <is>
          <t>BOOK</t>
        </is>
      </c>
      <c r="BB975" t="inlineStr">
        <is>
          <t>9780122456015</t>
        </is>
      </c>
      <c r="BC975" t="inlineStr">
        <is>
          <t>32285001774792</t>
        </is>
      </c>
      <c r="BD975" t="inlineStr">
        <is>
          <t>893708815</t>
        </is>
      </c>
    </row>
    <row r="976">
      <c r="A976" t="inlineStr">
        <is>
          <t>No</t>
        </is>
      </c>
      <c r="B976" t="inlineStr">
        <is>
          <t>QD453 .P55 v. 11</t>
        </is>
      </c>
      <c r="C976" t="inlineStr">
        <is>
          <t>0                      QD 0453000P  55                                                      v. 11</t>
        </is>
      </c>
      <c r="D976" t="inlineStr">
        <is>
          <t>Mathematical methods, edited by Douglas Henderson.</t>
        </is>
      </c>
      <c r="E976" t="inlineStr">
        <is>
          <t>V. 11B</t>
        </is>
      </c>
      <c r="F976" t="inlineStr">
        <is>
          <t>Yes</t>
        </is>
      </c>
      <c r="G976" t="inlineStr">
        <is>
          <t>1</t>
        </is>
      </c>
      <c r="H976" t="inlineStr">
        <is>
          <t>No</t>
        </is>
      </c>
      <c r="I976" t="inlineStr">
        <is>
          <t>No</t>
        </is>
      </c>
      <c r="J976" t="inlineStr">
        <is>
          <t>0</t>
        </is>
      </c>
      <c r="K976" t="inlineStr">
        <is>
          <t>Henderson, Douglas, 1934-</t>
        </is>
      </c>
      <c r="L976" t="inlineStr">
        <is>
          <t>New York, Academic Press, 1975.</t>
        </is>
      </c>
      <c r="M976" t="inlineStr">
        <is>
          <t>1975</t>
        </is>
      </c>
      <c r="O976" t="inlineStr">
        <is>
          <t>eng</t>
        </is>
      </c>
      <c r="P976" t="inlineStr">
        <is>
          <t>nyu</t>
        </is>
      </c>
      <c r="Q976" t="inlineStr">
        <is>
          <t>Physical chemistry, an advanced treatise ; v. 11</t>
        </is>
      </c>
      <c r="R976" t="inlineStr">
        <is>
          <t xml:space="preserve">QD </t>
        </is>
      </c>
      <c r="S976" t="n">
        <v>1</v>
      </c>
      <c r="T976" t="n">
        <v>1</v>
      </c>
      <c r="U976" t="inlineStr">
        <is>
          <t>2009-04-30</t>
        </is>
      </c>
      <c r="V976" t="inlineStr">
        <is>
          <t>2009-04-30</t>
        </is>
      </c>
      <c r="W976" t="inlineStr">
        <is>
          <t>1993-03-04</t>
        </is>
      </c>
      <c r="X976" t="inlineStr">
        <is>
          <t>1993-03-04</t>
        </is>
      </c>
      <c r="Y976" t="n">
        <v>280</v>
      </c>
      <c r="Z976" t="n">
        <v>219</v>
      </c>
      <c r="AA976" t="n">
        <v>252</v>
      </c>
      <c r="AB976" t="n">
        <v>3</v>
      </c>
      <c r="AC976" t="n">
        <v>3</v>
      </c>
      <c r="AD976" t="n">
        <v>15</v>
      </c>
      <c r="AE976" t="n">
        <v>17</v>
      </c>
      <c r="AF976" t="n">
        <v>5</v>
      </c>
      <c r="AG976" t="n">
        <v>6</v>
      </c>
      <c r="AH976" t="n">
        <v>4</v>
      </c>
      <c r="AI976" t="n">
        <v>5</v>
      </c>
      <c r="AJ976" t="n">
        <v>10</v>
      </c>
      <c r="AK976" t="n">
        <v>10</v>
      </c>
      <c r="AL976" t="n">
        <v>2</v>
      </c>
      <c r="AM976" t="n">
        <v>2</v>
      </c>
      <c r="AN976" t="n">
        <v>0</v>
      </c>
      <c r="AO976" t="n">
        <v>0</v>
      </c>
      <c r="AP976" t="inlineStr">
        <is>
          <t>No</t>
        </is>
      </c>
      <c r="AQ976" t="inlineStr">
        <is>
          <t>No</t>
        </is>
      </c>
      <c r="AS976">
        <f>HYPERLINK("https://creighton-primo.hosted.exlibrisgroup.com/primo-explore/search?tab=default_tab&amp;search_scope=EVERYTHING&amp;vid=01CRU&amp;lang=en_US&amp;offset=0&amp;query=any,contains,991003443139702656","Catalog Record")</f>
        <v/>
      </c>
      <c r="AT976">
        <f>HYPERLINK("http://www.worldcat.org/oclc/979203","WorldCat Record")</f>
        <v/>
      </c>
      <c r="AU976" t="inlineStr">
        <is>
          <t>3770398816:eng</t>
        </is>
      </c>
      <c r="AV976" t="inlineStr">
        <is>
          <t>979203</t>
        </is>
      </c>
      <c r="AW976" t="inlineStr">
        <is>
          <t>991003443139702656</t>
        </is>
      </c>
      <c r="AX976" t="inlineStr">
        <is>
          <t>991003443139702656</t>
        </is>
      </c>
      <c r="AY976" t="inlineStr">
        <is>
          <t>2261811520002656</t>
        </is>
      </c>
      <c r="AZ976" t="inlineStr">
        <is>
          <t>BOOK</t>
        </is>
      </c>
      <c r="BB976" t="inlineStr">
        <is>
          <t>9780122456114</t>
        </is>
      </c>
      <c r="BC976" t="inlineStr">
        <is>
          <t>32285001543569</t>
        </is>
      </c>
      <c r="BD976" t="inlineStr">
        <is>
          <t>893441290</t>
        </is>
      </c>
    </row>
    <row r="977">
      <c r="A977" t="inlineStr">
        <is>
          <t>No</t>
        </is>
      </c>
      <c r="B977" t="inlineStr">
        <is>
          <t>QD453 .P55 v. 11</t>
        </is>
      </c>
      <c r="C977" t="inlineStr">
        <is>
          <t>0                      QD 0453000P  55                                                      v. 11</t>
        </is>
      </c>
      <c r="D977" t="inlineStr">
        <is>
          <t>Mathematical methods, edited by Douglas Henderson.</t>
        </is>
      </c>
      <c r="E977" t="inlineStr">
        <is>
          <t>V. 11A</t>
        </is>
      </c>
      <c r="F977" t="inlineStr">
        <is>
          <t>Yes</t>
        </is>
      </c>
      <c r="G977" t="inlineStr">
        <is>
          <t>1</t>
        </is>
      </c>
      <c r="H977" t="inlineStr">
        <is>
          <t>No</t>
        </is>
      </c>
      <c r="I977" t="inlineStr">
        <is>
          <t>No</t>
        </is>
      </c>
      <c r="J977" t="inlineStr">
        <is>
          <t>0</t>
        </is>
      </c>
      <c r="K977" t="inlineStr">
        <is>
          <t>Henderson, Douglas, 1934-</t>
        </is>
      </c>
      <c r="L977" t="inlineStr">
        <is>
          <t>New York, Academic Press, 1975.</t>
        </is>
      </c>
      <c r="M977" t="inlineStr">
        <is>
          <t>1975</t>
        </is>
      </c>
      <c r="O977" t="inlineStr">
        <is>
          <t>eng</t>
        </is>
      </c>
      <c r="P977" t="inlineStr">
        <is>
          <t>nyu</t>
        </is>
      </c>
      <c r="Q977" t="inlineStr">
        <is>
          <t>Physical chemistry, an advanced treatise ; v. 11</t>
        </is>
      </c>
      <c r="R977" t="inlineStr">
        <is>
          <t xml:space="preserve">QD </t>
        </is>
      </c>
      <c r="S977" t="n">
        <v>0</v>
      </c>
      <c r="T977" t="n">
        <v>1</v>
      </c>
      <c r="V977" t="inlineStr">
        <is>
          <t>2009-04-30</t>
        </is>
      </c>
      <c r="W977" t="inlineStr">
        <is>
          <t>1993-03-04</t>
        </is>
      </c>
      <c r="X977" t="inlineStr">
        <is>
          <t>1993-03-04</t>
        </is>
      </c>
      <c r="Y977" t="n">
        <v>280</v>
      </c>
      <c r="Z977" t="n">
        <v>219</v>
      </c>
      <c r="AA977" t="n">
        <v>252</v>
      </c>
      <c r="AB977" t="n">
        <v>3</v>
      </c>
      <c r="AC977" t="n">
        <v>3</v>
      </c>
      <c r="AD977" t="n">
        <v>15</v>
      </c>
      <c r="AE977" t="n">
        <v>17</v>
      </c>
      <c r="AF977" t="n">
        <v>5</v>
      </c>
      <c r="AG977" t="n">
        <v>6</v>
      </c>
      <c r="AH977" t="n">
        <v>4</v>
      </c>
      <c r="AI977" t="n">
        <v>5</v>
      </c>
      <c r="AJ977" t="n">
        <v>10</v>
      </c>
      <c r="AK977" t="n">
        <v>10</v>
      </c>
      <c r="AL977" t="n">
        <v>2</v>
      </c>
      <c r="AM977" t="n">
        <v>2</v>
      </c>
      <c r="AN977" t="n">
        <v>0</v>
      </c>
      <c r="AO977" t="n">
        <v>0</v>
      </c>
      <c r="AP977" t="inlineStr">
        <is>
          <t>No</t>
        </is>
      </c>
      <c r="AQ977" t="inlineStr">
        <is>
          <t>No</t>
        </is>
      </c>
      <c r="AS977">
        <f>HYPERLINK("https://creighton-primo.hosted.exlibrisgroup.com/primo-explore/search?tab=default_tab&amp;search_scope=EVERYTHING&amp;vid=01CRU&amp;lang=en_US&amp;offset=0&amp;query=any,contains,991003443139702656","Catalog Record")</f>
        <v/>
      </c>
      <c r="AT977">
        <f>HYPERLINK("http://www.worldcat.org/oclc/979203","WorldCat Record")</f>
        <v/>
      </c>
      <c r="AU977" t="inlineStr">
        <is>
          <t>3770398816:eng</t>
        </is>
      </c>
      <c r="AV977" t="inlineStr">
        <is>
          <t>979203</t>
        </is>
      </c>
      <c r="AW977" t="inlineStr">
        <is>
          <t>991003443139702656</t>
        </is>
      </c>
      <c r="AX977" t="inlineStr">
        <is>
          <t>991003443139702656</t>
        </is>
      </c>
      <c r="AY977" t="inlineStr">
        <is>
          <t>2261811520002656</t>
        </is>
      </c>
      <c r="AZ977" t="inlineStr">
        <is>
          <t>BOOK</t>
        </is>
      </c>
      <c r="BB977" t="inlineStr">
        <is>
          <t>9780122456114</t>
        </is>
      </c>
      <c r="BC977" t="inlineStr">
        <is>
          <t>32285001543551</t>
        </is>
      </c>
      <c r="BD977" t="inlineStr">
        <is>
          <t>893428798</t>
        </is>
      </c>
    </row>
    <row r="978">
      <c r="A978" t="inlineStr">
        <is>
          <t>No</t>
        </is>
      </c>
      <c r="B978" t="inlineStr">
        <is>
          <t>QD453 .P55 v. 8</t>
        </is>
      </c>
      <c r="C978" t="inlineStr">
        <is>
          <t>0                      QD 0453000P  55                                                      v. 8</t>
        </is>
      </c>
      <c r="D978" t="inlineStr">
        <is>
          <t>Liquid state / Edited by Douglas Henderson.</t>
        </is>
      </c>
      <c r="E978" t="inlineStr">
        <is>
          <t>V. 8A</t>
        </is>
      </c>
      <c r="F978" t="inlineStr">
        <is>
          <t>Yes</t>
        </is>
      </c>
      <c r="G978" t="inlineStr">
        <is>
          <t>1</t>
        </is>
      </c>
      <c r="H978" t="inlineStr">
        <is>
          <t>No</t>
        </is>
      </c>
      <c r="I978" t="inlineStr">
        <is>
          <t>No</t>
        </is>
      </c>
      <c r="J978" t="inlineStr">
        <is>
          <t>0</t>
        </is>
      </c>
      <c r="L978" t="inlineStr">
        <is>
          <t>New York : Academic Press, 1971.</t>
        </is>
      </c>
      <c r="M978" t="inlineStr">
        <is>
          <t>1971</t>
        </is>
      </c>
      <c r="O978" t="inlineStr">
        <is>
          <t>eng</t>
        </is>
      </c>
      <c r="P978" t="inlineStr">
        <is>
          <t>nyu</t>
        </is>
      </c>
      <c r="Q978" t="inlineStr">
        <is>
          <t>Physical chemistry, an advanced treatise ; v. 8</t>
        </is>
      </c>
      <c r="R978" t="inlineStr">
        <is>
          <t xml:space="preserve">QD </t>
        </is>
      </c>
      <c r="S978" t="n">
        <v>2</v>
      </c>
      <c r="T978" t="n">
        <v>3</v>
      </c>
      <c r="U978" t="inlineStr">
        <is>
          <t>1992-06-03</t>
        </is>
      </c>
      <c r="V978" t="inlineStr">
        <is>
          <t>1992-06-03</t>
        </is>
      </c>
      <c r="W978" t="inlineStr">
        <is>
          <t>1992-05-28</t>
        </is>
      </c>
      <c r="X978" t="inlineStr">
        <is>
          <t>1993-10-06</t>
        </is>
      </c>
      <c r="Y978" t="n">
        <v>268</v>
      </c>
      <c r="Z978" t="n">
        <v>203</v>
      </c>
      <c r="AA978" t="n">
        <v>254</v>
      </c>
      <c r="AB978" t="n">
        <v>2</v>
      </c>
      <c r="AC978" t="n">
        <v>2</v>
      </c>
      <c r="AD978" t="n">
        <v>10</v>
      </c>
      <c r="AE978" t="n">
        <v>12</v>
      </c>
      <c r="AF978" t="n">
        <v>3</v>
      </c>
      <c r="AG978" t="n">
        <v>4</v>
      </c>
      <c r="AH978" t="n">
        <v>3</v>
      </c>
      <c r="AI978" t="n">
        <v>4</v>
      </c>
      <c r="AJ978" t="n">
        <v>8</v>
      </c>
      <c r="AK978" t="n">
        <v>8</v>
      </c>
      <c r="AL978" t="n">
        <v>1</v>
      </c>
      <c r="AM978" t="n">
        <v>1</v>
      </c>
      <c r="AN978" t="n">
        <v>0</v>
      </c>
      <c r="AO978" t="n">
        <v>0</v>
      </c>
      <c r="AP978" t="inlineStr">
        <is>
          <t>No</t>
        </is>
      </c>
      <c r="AQ978" t="inlineStr">
        <is>
          <t>Yes</t>
        </is>
      </c>
      <c r="AR978">
        <f>HYPERLINK("http://catalog.hathitrust.org/Record/004534310","HathiTrust Record")</f>
        <v/>
      </c>
      <c r="AS978">
        <f>HYPERLINK("https://creighton-primo.hosted.exlibrisgroup.com/primo-explore/search?tab=default_tab&amp;search_scope=EVERYTHING&amp;vid=01CRU&amp;lang=en_US&amp;offset=0&amp;query=any,contains,991001383129702656","Catalog Record")</f>
        <v/>
      </c>
      <c r="AT978">
        <f>HYPERLINK("http://www.worldcat.org/oclc/226362","WorldCat Record")</f>
        <v/>
      </c>
      <c r="AU978" t="inlineStr">
        <is>
          <t>4923811239:eng</t>
        </is>
      </c>
      <c r="AV978" t="inlineStr">
        <is>
          <t>226362</t>
        </is>
      </c>
      <c r="AW978" t="inlineStr">
        <is>
          <t>991001383129702656</t>
        </is>
      </c>
      <c r="AX978" t="inlineStr">
        <is>
          <t>991001383129702656</t>
        </is>
      </c>
      <c r="AY978" t="inlineStr">
        <is>
          <t>2263189510002656</t>
        </is>
      </c>
      <c r="AZ978" t="inlineStr">
        <is>
          <t>BOOK</t>
        </is>
      </c>
      <c r="BB978" t="inlineStr">
        <is>
          <t>9780122456589</t>
        </is>
      </c>
      <c r="BC978" t="inlineStr">
        <is>
          <t>32285001114239</t>
        </is>
      </c>
      <c r="BD978" t="inlineStr">
        <is>
          <t>893702989</t>
        </is>
      </c>
    </row>
    <row r="979">
      <c r="A979" t="inlineStr">
        <is>
          <t>No</t>
        </is>
      </c>
      <c r="B979" t="inlineStr">
        <is>
          <t>QD453 .P55 v. 8</t>
        </is>
      </c>
      <c r="C979" t="inlineStr">
        <is>
          <t>0                      QD 0453000P  55                                                      v. 8</t>
        </is>
      </c>
      <c r="D979" t="inlineStr">
        <is>
          <t>Liquid state / Edited by Douglas Henderson.</t>
        </is>
      </c>
      <c r="E979" t="inlineStr">
        <is>
          <t>V. 8B</t>
        </is>
      </c>
      <c r="F979" t="inlineStr">
        <is>
          <t>Yes</t>
        </is>
      </c>
      <c r="G979" t="inlineStr">
        <is>
          <t>1</t>
        </is>
      </c>
      <c r="H979" t="inlineStr">
        <is>
          <t>No</t>
        </is>
      </c>
      <c r="I979" t="inlineStr">
        <is>
          <t>No</t>
        </is>
      </c>
      <c r="J979" t="inlineStr">
        <is>
          <t>0</t>
        </is>
      </c>
      <c r="L979" t="inlineStr">
        <is>
          <t>New York : Academic Press, 1971.</t>
        </is>
      </c>
      <c r="M979" t="inlineStr">
        <is>
          <t>1971</t>
        </is>
      </c>
      <c r="O979" t="inlineStr">
        <is>
          <t>eng</t>
        </is>
      </c>
      <c r="P979" t="inlineStr">
        <is>
          <t>nyu</t>
        </is>
      </c>
      <c r="Q979" t="inlineStr">
        <is>
          <t>Physical chemistry, an advanced treatise ; v. 8</t>
        </is>
      </c>
      <c r="R979" t="inlineStr">
        <is>
          <t xml:space="preserve">QD </t>
        </is>
      </c>
      <c r="S979" t="n">
        <v>1</v>
      </c>
      <c r="T979" t="n">
        <v>3</v>
      </c>
      <c r="V979" t="inlineStr">
        <is>
          <t>1992-06-03</t>
        </is>
      </c>
      <c r="W979" t="inlineStr">
        <is>
          <t>1993-10-06</t>
        </is>
      </c>
      <c r="X979" t="inlineStr">
        <is>
          <t>1993-10-06</t>
        </is>
      </c>
      <c r="Y979" t="n">
        <v>268</v>
      </c>
      <c r="Z979" t="n">
        <v>203</v>
      </c>
      <c r="AA979" t="n">
        <v>254</v>
      </c>
      <c r="AB979" t="n">
        <v>2</v>
      </c>
      <c r="AC979" t="n">
        <v>2</v>
      </c>
      <c r="AD979" t="n">
        <v>10</v>
      </c>
      <c r="AE979" t="n">
        <v>12</v>
      </c>
      <c r="AF979" t="n">
        <v>3</v>
      </c>
      <c r="AG979" t="n">
        <v>4</v>
      </c>
      <c r="AH979" t="n">
        <v>3</v>
      </c>
      <c r="AI979" t="n">
        <v>4</v>
      </c>
      <c r="AJ979" t="n">
        <v>8</v>
      </c>
      <c r="AK979" t="n">
        <v>8</v>
      </c>
      <c r="AL979" t="n">
        <v>1</v>
      </c>
      <c r="AM979" t="n">
        <v>1</v>
      </c>
      <c r="AN979" t="n">
        <v>0</v>
      </c>
      <c r="AO979" t="n">
        <v>0</v>
      </c>
      <c r="AP979" t="inlineStr">
        <is>
          <t>No</t>
        </is>
      </c>
      <c r="AQ979" t="inlineStr">
        <is>
          <t>Yes</t>
        </is>
      </c>
      <c r="AR979">
        <f>HYPERLINK("http://catalog.hathitrust.org/Record/004534310","HathiTrust Record")</f>
        <v/>
      </c>
      <c r="AS979">
        <f>HYPERLINK("https://creighton-primo.hosted.exlibrisgroup.com/primo-explore/search?tab=default_tab&amp;search_scope=EVERYTHING&amp;vid=01CRU&amp;lang=en_US&amp;offset=0&amp;query=any,contains,991001383129702656","Catalog Record")</f>
        <v/>
      </c>
      <c r="AT979">
        <f>HYPERLINK("http://www.worldcat.org/oclc/226362","WorldCat Record")</f>
        <v/>
      </c>
      <c r="AU979" t="inlineStr">
        <is>
          <t>4923811239:eng</t>
        </is>
      </c>
      <c r="AV979" t="inlineStr">
        <is>
          <t>226362</t>
        </is>
      </c>
      <c r="AW979" t="inlineStr">
        <is>
          <t>991001383129702656</t>
        </is>
      </c>
      <c r="AX979" t="inlineStr">
        <is>
          <t>991001383129702656</t>
        </is>
      </c>
      <c r="AY979" t="inlineStr">
        <is>
          <t>2263189510002656</t>
        </is>
      </c>
      <c r="AZ979" t="inlineStr">
        <is>
          <t>BOOK</t>
        </is>
      </c>
      <c r="BB979" t="inlineStr">
        <is>
          <t>9780122456589</t>
        </is>
      </c>
      <c r="BC979" t="inlineStr">
        <is>
          <t>32285001774859</t>
        </is>
      </c>
      <c r="BD979" t="inlineStr">
        <is>
          <t>893721012</t>
        </is>
      </c>
    </row>
    <row r="980">
      <c r="A980" t="inlineStr">
        <is>
          <t>No</t>
        </is>
      </c>
      <c r="B980" t="inlineStr">
        <is>
          <t>QD453 .W685</t>
        </is>
      </c>
      <c r="C980" t="inlineStr">
        <is>
          <t>0                      QD 0453000W  685</t>
        </is>
      </c>
      <c r="D980" t="inlineStr">
        <is>
          <t>Basic physical chemistry for the life sciences [by] Virginia R. Williams [and] Hulen B. Williams. Mathematical appendix by Bill B. Townsend.</t>
        </is>
      </c>
      <c r="F980" t="inlineStr">
        <is>
          <t>No</t>
        </is>
      </c>
      <c r="G980" t="inlineStr">
        <is>
          <t>1</t>
        </is>
      </c>
      <c r="H980" t="inlineStr">
        <is>
          <t>No</t>
        </is>
      </c>
      <c r="I980" t="inlineStr">
        <is>
          <t>No</t>
        </is>
      </c>
      <c r="J980" t="inlineStr">
        <is>
          <t>0</t>
        </is>
      </c>
      <c r="K980" t="inlineStr">
        <is>
          <t>Williams, Virginia R.</t>
        </is>
      </c>
      <c r="L980" t="inlineStr">
        <is>
          <t>San Francisco, W. H. Freeman [1967]</t>
        </is>
      </c>
      <c r="M980" t="inlineStr">
        <is>
          <t>1967</t>
        </is>
      </c>
      <c r="O980" t="inlineStr">
        <is>
          <t>eng</t>
        </is>
      </c>
      <c r="P980" t="inlineStr">
        <is>
          <t>cau</t>
        </is>
      </c>
      <c r="R980" t="inlineStr">
        <is>
          <t xml:space="preserve">QD </t>
        </is>
      </c>
      <c r="S980" t="n">
        <v>2</v>
      </c>
      <c r="T980" t="n">
        <v>2</v>
      </c>
      <c r="U980" t="inlineStr">
        <is>
          <t>1999-05-25</t>
        </is>
      </c>
      <c r="V980" t="inlineStr">
        <is>
          <t>1999-05-25</t>
        </is>
      </c>
      <c r="W980" t="inlineStr">
        <is>
          <t>1997-06-12</t>
        </is>
      </c>
      <c r="X980" t="inlineStr">
        <is>
          <t>1997-06-12</t>
        </is>
      </c>
      <c r="Y980" t="n">
        <v>442</v>
      </c>
      <c r="Z980" t="n">
        <v>356</v>
      </c>
      <c r="AA980" t="n">
        <v>536</v>
      </c>
      <c r="AB980" t="n">
        <v>6</v>
      </c>
      <c r="AC980" t="n">
        <v>6</v>
      </c>
      <c r="AD980" t="n">
        <v>16</v>
      </c>
      <c r="AE980" t="n">
        <v>22</v>
      </c>
      <c r="AF980" t="n">
        <v>4</v>
      </c>
      <c r="AG980" t="n">
        <v>9</v>
      </c>
      <c r="AH980" t="n">
        <v>2</v>
      </c>
      <c r="AI980" t="n">
        <v>3</v>
      </c>
      <c r="AJ980" t="n">
        <v>7</v>
      </c>
      <c r="AK980" t="n">
        <v>11</v>
      </c>
      <c r="AL980" t="n">
        <v>5</v>
      </c>
      <c r="AM980" t="n">
        <v>5</v>
      </c>
      <c r="AN980" t="n">
        <v>0</v>
      </c>
      <c r="AO980" t="n">
        <v>0</v>
      </c>
      <c r="AP980" t="inlineStr">
        <is>
          <t>No</t>
        </is>
      </c>
      <c r="AQ980" t="inlineStr">
        <is>
          <t>No</t>
        </is>
      </c>
      <c r="AS980">
        <f>HYPERLINK("https://creighton-primo.hosted.exlibrisgroup.com/primo-explore/search?tab=default_tab&amp;search_scope=EVERYTHING&amp;vid=01CRU&amp;lang=en_US&amp;offset=0&amp;query=any,contains,991002167749702656","Catalog Record")</f>
        <v/>
      </c>
      <c r="AT980">
        <f>HYPERLINK("http://www.worldcat.org/oclc/275895","WorldCat Record")</f>
        <v/>
      </c>
      <c r="AU980" t="inlineStr">
        <is>
          <t>9380983031:eng</t>
        </is>
      </c>
      <c r="AV980" t="inlineStr">
        <is>
          <t>275895</t>
        </is>
      </c>
      <c r="AW980" t="inlineStr">
        <is>
          <t>991002167749702656</t>
        </is>
      </c>
      <c r="AX980" t="inlineStr">
        <is>
          <t>991002167749702656</t>
        </is>
      </c>
      <c r="AY980" t="inlineStr">
        <is>
          <t>2263443360002656</t>
        </is>
      </c>
      <c r="AZ980" t="inlineStr">
        <is>
          <t>BOOK</t>
        </is>
      </c>
      <c r="BC980" t="inlineStr">
        <is>
          <t>32285002805801</t>
        </is>
      </c>
      <c r="BD980" t="inlineStr">
        <is>
          <t>893262119</t>
        </is>
      </c>
    </row>
    <row r="981">
      <c r="A981" t="inlineStr">
        <is>
          <t>No</t>
        </is>
      </c>
      <c r="B981" t="inlineStr">
        <is>
          <t>QD453.2 .B48 2000</t>
        </is>
      </c>
      <c r="C981" t="inlineStr">
        <is>
          <t>0                      QD 0453200B  48          2000</t>
        </is>
      </c>
      <c r="D981" t="inlineStr">
        <is>
          <t>Physical chemistry.</t>
        </is>
      </c>
      <c r="F981" t="inlineStr">
        <is>
          <t>No</t>
        </is>
      </c>
      <c r="G981" t="inlineStr">
        <is>
          <t>1</t>
        </is>
      </c>
      <c r="H981" t="inlineStr">
        <is>
          <t>No</t>
        </is>
      </c>
      <c r="I981" t="inlineStr">
        <is>
          <t>No</t>
        </is>
      </c>
      <c r="J981" t="inlineStr">
        <is>
          <t>0</t>
        </is>
      </c>
      <c r="K981" t="inlineStr">
        <is>
          <t>Berry, R. Stephen, 1931-</t>
        </is>
      </c>
      <c r="L981" t="inlineStr">
        <is>
          <t>New York : Oxford University Press, 2000.</t>
        </is>
      </c>
      <c r="M981" t="inlineStr">
        <is>
          <t>2000</t>
        </is>
      </c>
      <c r="N981" t="inlineStr">
        <is>
          <t>2nd ed. / R. Stephen Berry, Stuart A. Rice, John Ross.</t>
        </is>
      </c>
      <c r="O981" t="inlineStr">
        <is>
          <t>eng</t>
        </is>
      </c>
      <c r="P981" t="inlineStr">
        <is>
          <t>nyu</t>
        </is>
      </c>
      <c r="Q981" t="inlineStr">
        <is>
          <t>Topics in physical chemistry</t>
        </is>
      </c>
      <c r="R981" t="inlineStr">
        <is>
          <t xml:space="preserve">QD </t>
        </is>
      </c>
      <c r="S981" t="n">
        <v>5</v>
      </c>
      <c r="T981" t="n">
        <v>5</v>
      </c>
      <c r="U981" t="inlineStr">
        <is>
          <t>2001-05-16</t>
        </is>
      </c>
      <c r="V981" t="inlineStr">
        <is>
          <t>2001-05-16</t>
        </is>
      </c>
      <c r="W981" t="inlineStr">
        <is>
          <t>2001-04-18</t>
        </is>
      </c>
      <c r="X981" t="inlineStr">
        <is>
          <t>2001-04-18</t>
        </is>
      </c>
      <c r="Y981" t="n">
        <v>370</v>
      </c>
      <c r="Z981" t="n">
        <v>247</v>
      </c>
      <c r="AA981" t="n">
        <v>547</v>
      </c>
      <c r="AB981" t="n">
        <v>2</v>
      </c>
      <c r="AC981" t="n">
        <v>5</v>
      </c>
      <c r="AD981" t="n">
        <v>11</v>
      </c>
      <c r="AE981" t="n">
        <v>24</v>
      </c>
      <c r="AF981" t="n">
        <v>3</v>
      </c>
      <c r="AG981" t="n">
        <v>10</v>
      </c>
      <c r="AH981" t="n">
        <v>4</v>
      </c>
      <c r="AI981" t="n">
        <v>5</v>
      </c>
      <c r="AJ981" t="n">
        <v>6</v>
      </c>
      <c r="AK981" t="n">
        <v>11</v>
      </c>
      <c r="AL981" t="n">
        <v>1</v>
      </c>
      <c r="AM981" t="n">
        <v>4</v>
      </c>
      <c r="AN981" t="n">
        <v>0</v>
      </c>
      <c r="AO981" t="n">
        <v>0</v>
      </c>
      <c r="AP981" t="inlineStr">
        <is>
          <t>No</t>
        </is>
      </c>
      <c r="AQ981" t="inlineStr">
        <is>
          <t>No</t>
        </is>
      </c>
      <c r="AS981">
        <f>HYPERLINK("https://creighton-primo.hosted.exlibrisgroup.com/primo-explore/search?tab=default_tab&amp;search_scope=EVERYTHING&amp;vid=01CRU&amp;lang=en_US&amp;offset=0&amp;query=any,contains,991003503389702656","Catalog Record")</f>
        <v/>
      </c>
      <c r="AT981">
        <f>HYPERLINK("http://www.worldcat.org/oclc/43365879","WorldCat Record")</f>
        <v/>
      </c>
      <c r="AU981" t="inlineStr">
        <is>
          <t>488712:eng</t>
        </is>
      </c>
      <c r="AV981" t="inlineStr">
        <is>
          <t>43365879</t>
        </is>
      </c>
      <c r="AW981" t="inlineStr">
        <is>
          <t>991003503389702656</t>
        </is>
      </c>
      <c r="AX981" t="inlineStr">
        <is>
          <t>991003503389702656</t>
        </is>
      </c>
      <c r="AY981" t="inlineStr">
        <is>
          <t>2270388680002656</t>
        </is>
      </c>
      <c r="AZ981" t="inlineStr">
        <is>
          <t>BOOK</t>
        </is>
      </c>
      <c r="BB981" t="inlineStr">
        <is>
          <t>9780195105896</t>
        </is>
      </c>
      <c r="BC981" t="inlineStr">
        <is>
          <t>32285004313168</t>
        </is>
      </c>
      <c r="BD981" t="inlineStr">
        <is>
          <t>893252431</t>
        </is>
      </c>
    </row>
    <row r="982">
      <c r="A982" t="inlineStr">
        <is>
          <t>No</t>
        </is>
      </c>
      <c r="B982" t="inlineStr">
        <is>
          <t>QD453.2 .D54 1987</t>
        </is>
      </c>
      <c r="C982" t="inlineStr">
        <is>
          <t>0                      QD 0453200D  54          1987</t>
        </is>
      </c>
      <c r="D982" t="inlineStr">
        <is>
          <t>Intermediate physical chemistry : stationary properties of chemical systems / Joseph B. Dence, Dennis J. Diestler.</t>
        </is>
      </c>
      <c r="F982" t="inlineStr">
        <is>
          <t>No</t>
        </is>
      </c>
      <c r="G982" t="inlineStr">
        <is>
          <t>1</t>
        </is>
      </c>
      <c r="H982" t="inlineStr">
        <is>
          <t>No</t>
        </is>
      </c>
      <c r="I982" t="inlineStr">
        <is>
          <t>No</t>
        </is>
      </c>
      <c r="J982" t="inlineStr">
        <is>
          <t>0</t>
        </is>
      </c>
      <c r="K982" t="inlineStr">
        <is>
          <t>Dence, Joseph B.</t>
        </is>
      </c>
      <c r="L982" t="inlineStr">
        <is>
          <t>New York : Wiley, 1987.</t>
        </is>
      </c>
      <c r="M982" t="inlineStr">
        <is>
          <t>1987</t>
        </is>
      </c>
      <c r="O982" t="inlineStr">
        <is>
          <t>eng</t>
        </is>
      </c>
      <c r="P982" t="inlineStr">
        <is>
          <t>nyu</t>
        </is>
      </c>
      <c r="R982" t="inlineStr">
        <is>
          <t xml:space="preserve">QD </t>
        </is>
      </c>
      <c r="S982" t="n">
        <v>6</v>
      </c>
      <c r="T982" t="n">
        <v>6</v>
      </c>
      <c r="U982" t="inlineStr">
        <is>
          <t>1997-08-18</t>
        </is>
      </c>
      <c r="V982" t="inlineStr">
        <is>
          <t>1997-08-18</t>
        </is>
      </c>
      <c r="W982" t="inlineStr">
        <is>
          <t>1992-05-28</t>
        </is>
      </c>
      <c r="X982" t="inlineStr">
        <is>
          <t>1992-05-28</t>
        </is>
      </c>
      <c r="Y982" t="n">
        <v>300</v>
      </c>
      <c r="Z982" t="n">
        <v>242</v>
      </c>
      <c r="AA982" t="n">
        <v>248</v>
      </c>
      <c r="AB982" t="n">
        <v>2</v>
      </c>
      <c r="AC982" t="n">
        <v>2</v>
      </c>
      <c r="AD982" t="n">
        <v>12</v>
      </c>
      <c r="AE982" t="n">
        <v>12</v>
      </c>
      <c r="AF982" t="n">
        <v>4</v>
      </c>
      <c r="AG982" t="n">
        <v>4</v>
      </c>
      <c r="AH982" t="n">
        <v>2</v>
      </c>
      <c r="AI982" t="n">
        <v>2</v>
      </c>
      <c r="AJ982" t="n">
        <v>8</v>
      </c>
      <c r="AK982" t="n">
        <v>8</v>
      </c>
      <c r="AL982" t="n">
        <v>1</v>
      </c>
      <c r="AM982" t="n">
        <v>1</v>
      </c>
      <c r="AN982" t="n">
        <v>0</v>
      </c>
      <c r="AO982" t="n">
        <v>0</v>
      </c>
      <c r="AP982" t="inlineStr">
        <is>
          <t>No</t>
        </is>
      </c>
      <c r="AQ982" t="inlineStr">
        <is>
          <t>Yes</t>
        </is>
      </c>
      <c r="AR982">
        <f>HYPERLINK("http://catalog.hathitrust.org/Record/000831985","HathiTrust Record")</f>
        <v/>
      </c>
      <c r="AS982">
        <f>HYPERLINK("https://creighton-primo.hosted.exlibrisgroup.com/primo-explore/search?tab=default_tab&amp;search_scope=EVERYTHING&amp;vid=01CRU&amp;lang=en_US&amp;offset=0&amp;query=any,contains,991000941309702656","Catalog Record")</f>
        <v/>
      </c>
      <c r="AT982">
        <f>HYPERLINK("http://www.worldcat.org/oclc/14412232","WorldCat Record")</f>
        <v/>
      </c>
      <c r="AU982" t="inlineStr">
        <is>
          <t>836676386:eng</t>
        </is>
      </c>
      <c r="AV982" t="inlineStr">
        <is>
          <t>14412232</t>
        </is>
      </c>
      <c r="AW982" t="inlineStr">
        <is>
          <t>991000941309702656</t>
        </is>
      </c>
      <c r="AX982" t="inlineStr">
        <is>
          <t>991000941309702656</t>
        </is>
      </c>
      <c r="AY982" t="inlineStr">
        <is>
          <t>2261912930002656</t>
        </is>
      </c>
      <c r="AZ982" t="inlineStr">
        <is>
          <t>BOOK</t>
        </is>
      </c>
      <c r="BB982" t="inlineStr">
        <is>
          <t>9780471812432</t>
        </is>
      </c>
      <c r="BC982" t="inlineStr">
        <is>
          <t>32285001114221</t>
        </is>
      </c>
      <c r="BD982" t="inlineStr">
        <is>
          <t>893772148</t>
        </is>
      </c>
    </row>
    <row r="983">
      <c r="A983" t="inlineStr">
        <is>
          <t>No</t>
        </is>
      </c>
      <c r="B983" t="inlineStr">
        <is>
          <t>QD453.2 .L338 1982</t>
        </is>
      </c>
      <c r="C983" t="inlineStr">
        <is>
          <t>0                      QD 0453200L  338         1982</t>
        </is>
      </c>
      <c r="D983" t="inlineStr">
        <is>
          <t>Physical chemistry / Keith J. Laidler, John H. Meiser.</t>
        </is>
      </c>
      <c r="F983" t="inlineStr">
        <is>
          <t>No</t>
        </is>
      </c>
      <c r="G983" t="inlineStr">
        <is>
          <t>1</t>
        </is>
      </c>
      <c r="H983" t="inlineStr">
        <is>
          <t>No</t>
        </is>
      </c>
      <c r="I983" t="inlineStr">
        <is>
          <t>No</t>
        </is>
      </c>
      <c r="J983" t="inlineStr">
        <is>
          <t>0</t>
        </is>
      </c>
      <c r="K983" t="inlineStr">
        <is>
          <t>Laidler, Keith J. (Keith James), 1916-2003.</t>
        </is>
      </c>
      <c r="L983" t="inlineStr">
        <is>
          <t>Menlo Park, Calif. : Benjamin/Cummings Pub. Co., c1982.</t>
        </is>
      </c>
      <c r="M983" t="inlineStr">
        <is>
          <t>1982</t>
        </is>
      </c>
      <c r="O983" t="inlineStr">
        <is>
          <t>eng</t>
        </is>
      </c>
      <c r="P983" t="inlineStr">
        <is>
          <t>cau</t>
        </is>
      </c>
      <c r="R983" t="inlineStr">
        <is>
          <t xml:space="preserve">QD </t>
        </is>
      </c>
      <c r="S983" t="n">
        <v>40</v>
      </c>
      <c r="T983" t="n">
        <v>40</v>
      </c>
      <c r="U983" t="inlineStr">
        <is>
          <t>2003-11-04</t>
        </is>
      </c>
      <c r="V983" t="inlineStr">
        <is>
          <t>2003-11-04</t>
        </is>
      </c>
      <c r="W983" t="inlineStr">
        <is>
          <t>1990-08-14</t>
        </is>
      </c>
      <c r="X983" t="inlineStr">
        <is>
          <t>1990-08-14</t>
        </is>
      </c>
      <c r="Y983" t="n">
        <v>209</v>
      </c>
      <c r="Z983" t="n">
        <v>96</v>
      </c>
      <c r="AA983" t="n">
        <v>197</v>
      </c>
      <c r="AB983" t="n">
        <v>1</v>
      </c>
      <c r="AC983" t="n">
        <v>2</v>
      </c>
      <c r="AD983" t="n">
        <v>2</v>
      </c>
      <c r="AE983" t="n">
        <v>6</v>
      </c>
      <c r="AF983" t="n">
        <v>0</v>
      </c>
      <c r="AG983" t="n">
        <v>1</v>
      </c>
      <c r="AH983" t="n">
        <v>2</v>
      </c>
      <c r="AI983" t="n">
        <v>4</v>
      </c>
      <c r="AJ983" t="n">
        <v>1</v>
      </c>
      <c r="AK983" t="n">
        <v>3</v>
      </c>
      <c r="AL983" t="n">
        <v>0</v>
      </c>
      <c r="AM983" t="n">
        <v>1</v>
      </c>
      <c r="AN983" t="n">
        <v>0</v>
      </c>
      <c r="AO983" t="n">
        <v>0</v>
      </c>
      <c r="AP983" t="inlineStr">
        <is>
          <t>No</t>
        </is>
      </c>
      <c r="AQ983" t="inlineStr">
        <is>
          <t>Yes</t>
        </is>
      </c>
      <c r="AR983">
        <f>HYPERLINK("http://catalog.hathitrust.org/Record/004448059","HathiTrust Record")</f>
        <v/>
      </c>
      <c r="AS983">
        <f>HYPERLINK("https://creighton-primo.hosted.exlibrisgroup.com/primo-explore/search?tab=default_tab&amp;search_scope=EVERYTHING&amp;vid=01CRU&amp;lang=en_US&amp;offset=0&amp;query=any,contains,991005205049702656","Catalog Record")</f>
        <v/>
      </c>
      <c r="AT983">
        <f>HYPERLINK("http://www.worldcat.org/oclc/8112942","WorldCat Record")</f>
        <v/>
      </c>
      <c r="AU983" t="inlineStr">
        <is>
          <t>133318114:eng</t>
        </is>
      </c>
      <c r="AV983" t="inlineStr">
        <is>
          <t>8112942</t>
        </is>
      </c>
      <c r="AW983" t="inlineStr">
        <is>
          <t>991005205049702656</t>
        </is>
      </c>
      <c r="AX983" t="inlineStr">
        <is>
          <t>991005205049702656</t>
        </is>
      </c>
      <c r="AY983" t="inlineStr">
        <is>
          <t>2255384460002656</t>
        </is>
      </c>
      <c r="AZ983" t="inlineStr">
        <is>
          <t>BOOK</t>
        </is>
      </c>
      <c r="BB983" t="inlineStr">
        <is>
          <t>9780805356823</t>
        </is>
      </c>
      <c r="BC983" t="inlineStr">
        <is>
          <t>32285000268721</t>
        </is>
      </c>
      <c r="BD983" t="inlineStr">
        <is>
          <t>893594657</t>
        </is>
      </c>
    </row>
    <row r="984">
      <c r="A984" t="inlineStr">
        <is>
          <t>No</t>
        </is>
      </c>
      <c r="B984" t="inlineStr">
        <is>
          <t>QD453.2 .L47</t>
        </is>
      </c>
      <c r="C984" t="inlineStr">
        <is>
          <t>0                      QD 0453200L  47</t>
        </is>
      </c>
      <c r="D984" t="inlineStr">
        <is>
          <t>Introduction to physical chemistry / Arthur M. Lesk.</t>
        </is>
      </c>
      <c r="F984" t="inlineStr">
        <is>
          <t>No</t>
        </is>
      </c>
      <c r="G984" t="inlineStr">
        <is>
          <t>1</t>
        </is>
      </c>
      <c r="H984" t="inlineStr">
        <is>
          <t>No</t>
        </is>
      </c>
      <c r="I984" t="inlineStr">
        <is>
          <t>No</t>
        </is>
      </c>
      <c r="J984" t="inlineStr">
        <is>
          <t>0</t>
        </is>
      </c>
      <c r="K984" t="inlineStr">
        <is>
          <t>Lesk, Arthur M.</t>
        </is>
      </c>
      <c r="L984" t="inlineStr">
        <is>
          <t>Englewood Cliffs, NJ : Prentice-Hall, c1982.</t>
        </is>
      </c>
      <c r="M984" t="inlineStr">
        <is>
          <t>1982</t>
        </is>
      </c>
      <c r="O984" t="inlineStr">
        <is>
          <t>eng</t>
        </is>
      </c>
      <c r="P984" t="inlineStr">
        <is>
          <t>nju</t>
        </is>
      </c>
      <c r="R984" t="inlineStr">
        <is>
          <t xml:space="preserve">QD </t>
        </is>
      </c>
      <c r="S984" t="n">
        <v>20</v>
      </c>
      <c r="T984" t="n">
        <v>20</v>
      </c>
      <c r="U984" t="inlineStr">
        <is>
          <t>2003-09-18</t>
        </is>
      </c>
      <c r="V984" t="inlineStr">
        <is>
          <t>2003-09-18</t>
        </is>
      </c>
      <c r="W984" t="inlineStr">
        <is>
          <t>1990-08-14</t>
        </is>
      </c>
      <c r="X984" t="inlineStr">
        <is>
          <t>1990-08-14</t>
        </is>
      </c>
      <c r="Y984" t="n">
        <v>155</v>
      </c>
      <c r="Z984" t="n">
        <v>85</v>
      </c>
      <c r="AA984" t="n">
        <v>87</v>
      </c>
      <c r="AB984" t="n">
        <v>2</v>
      </c>
      <c r="AC984" t="n">
        <v>2</v>
      </c>
      <c r="AD984" t="n">
        <v>2</v>
      </c>
      <c r="AE984" t="n">
        <v>2</v>
      </c>
      <c r="AF984" t="n">
        <v>0</v>
      </c>
      <c r="AG984" t="n">
        <v>0</v>
      </c>
      <c r="AH984" t="n">
        <v>1</v>
      </c>
      <c r="AI984" t="n">
        <v>1</v>
      </c>
      <c r="AJ984" t="n">
        <v>1</v>
      </c>
      <c r="AK984" t="n">
        <v>1</v>
      </c>
      <c r="AL984" t="n">
        <v>1</v>
      </c>
      <c r="AM984" t="n">
        <v>1</v>
      </c>
      <c r="AN984" t="n">
        <v>0</v>
      </c>
      <c r="AO984" t="n">
        <v>0</v>
      </c>
      <c r="AP984" t="inlineStr">
        <is>
          <t>No</t>
        </is>
      </c>
      <c r="AQ984" t="inlineStr">
        <is>
          <t>No</t>
        </is>
      </c>
      <c r="AS984">
        <f>HYPERLINK("https://creighton-primo.hosted.exlibrisgroup.com/primo-explore/search?tab=default_tab&amp;search_scope=EVERYTHING&amp;vid=01CRU&amp;lang=en_US&amp;offset=0&amp;query=any,contains,991005163699702656","Catalog Record")</f>
        <v/>
      </c>
      <c r="AT984">
        <f>HYPERLINK("http://www.worldcat.org/oclc/7812157","WorldCat Record")</f>
        <v/>
      </c>
      <c r="AU984" t="inlineStr">
        <is>
          <t>411290:eng</t>
        </is>
      </c>
      <c r="AV984" t="inlineStr">
        <is>
          <t>7812157</t>
        </is>
      </c>
      <c r="AW984" t="inlineStr">
        <is>
          <t>991005163699702656</t>
        </is>
      </c>
      <c r="AX984" t="inlineStr">
        <is>
          <t>991005163699702656</t>
        </is>
      </c>
      <c r="AY984" t="inlineStr">
        <is>
          <t>2254793670002656</t>
        </is>
      </c>
      <c r="AZ984" t="inlineStr">
        <is>
          <t>BOOK</t>
        </is>
      </c>
      <c r="BB984" t="inlineStr">
        <is>
          <t>9780134927107</t>
        </is>
      </c>
      <c r="BC984" t="inlineStr">
        <is>
          <t>32285000268739</t>
        </is>
      </c>
      <c r="BD984" t="inlineStr">
        <is>
          <t>893719895</t>
        </is>
      </c>
    </row>
    <row r="985">
      <c r="A985" t="inlineStr">
        <is>
          <t>No</t>
        </is>
      </c>
      <c r="B985" t="inlineStr">
        <is>
          <t>QD453.2 .P74 1981</t>
        </is>
      </c>
      <c r="C985" t="inlineStr">
        <is>
          <t>0                      QD 0453200P  74          1981</t>
        </is>
      </c>
      <c r="D985" t="inlineStr">
        <is>
          <t>Chemistry, quantum mechanics, and reductionism : perspectives in theoretical chemistry / Hans Primas.</t>
        </is>
      </c>
      <c r="F985" t="inlineStr">
        <is>
          <t>No</t>
        </is>
      </c>
      <c r="G985" t="inlineStr">
        <is>
          <t>1</t>
        </is>
      </c>
      <c r="H985" t="inlineStr">
        <is>
          <t>No</t>
        </is>
      </c>
      <c r="I985" t="inlineStr">
        <is>
          <t>No</t>
        </is>
      </c>
      <c r="J985" t="inlineStr">
        <is>
          <t>0</t>
        </is>
      </c>
      <c r="K985" t="inlineStr">
        <is>
          <t>Primas, Hans, 1928-</t>
        </is>
      </c>
      <c r="L985" t="inlineStr">
        <is>
          <t>Berlin ; New York : Springer-Verlag, 1981.</t>
        </is>
      </c>
      <c r="M985" t="inlineStr">
        <is>
          <t>1981</t>
        </is>
      </c>
      <c r="O985" t="inlineStr">
        <is>
          <t>eng</t>
        </is>
      </c>
      <c r="P985" t="inlineStr">
        <is>
          <t xml:space="preserve">gw </t>
        </is>
      </c>
      <c r="Q985" t="inlineStr">
        <is>
          <t>Lecture notes in chemistry ; v. 24</t>
        </is>
      </c>
      <c r="R985" t="inlineStr">
        <is>
          <t xml:space="preserve">QD </t>
        </is>
      </c>
      <c r="S985" t="n">
        <v>1</v>
      </c>
      <c r="T985" t="n">
        <v>1</v>
      </c>
      <c r="U985" t="inlineStr">
        <is>
          <t>2009-04-30</t>
        </is>
      </c>
      <c r="V985" t="inlineStr">
        <is>
          <t>2009-04-30</t>
        </is>
      </c>
      <c r="W985" t="inlineStr">
        <is>
          <t>1992-05-18</t>
        </is>
      </c>
      <c r="X985" t="inlineStr">
        <is>
          <t>1992-05-18</t>
        </is>
      </c>
      <c r="Y985" t="n">
        <v>179</v>
      </c>
      <c r="Z985" t="n">
        <v>115</v>
      </c>
      <c r="AA985" t="n">
        <v>229</v>
      </c>
      <c r="AB985" t="n">
        <v>2</v>
      </c>
      <c r="AC985" t="n">
        <v>2</v>
      </c>
      <c r="AD985" t="n">
        <v>2</v>
      </c>
      <c r="AE985" t="n">
        <v>6</v>
      </c>
      <c r="AF985" t="n">
        <v>0</v>
      </c>
      <c r="AG985" t="n">
        <v>2</v>
      </c>
      <c r="AH985" t="n">
        <v>1</v>
      </c>
      <c r="AI985" t="n">
        <v>3</v>
      </c>
      <c r="AJ985" t="n">
        <v>1</v>
      </c>
      <c r="AK985" t="n">
        <v>3</v>
      </c>
      <c r="AL985" t="n">
        <v>1</v>
      </c>
      <c r="AM985" t="n">
        <v>1</v>
      </c>
      <c r="AN985" t="n">
        <v>0</v>
      </c>
      <c r="AO985" t="n">
        <v>0</v>
      </c>
      <c r="AP985" t="inlineStr">
        <is>
          <t>No</t>
        </is>
      </c>
      <c r="AQ985" t="inlineStr">
        <is>
          <t>Yes</t>
        </is>
      </c>
      <c r="AR985">
        <f>HYPERLINK("http://catalog.hathitrust.org/Record/000099065","HathiTrust Record")</f>
        <v/>
      </c>
      <c r="AS985">
        <f>HYPERLINK("https://creighton-primo.hosted.exlibrisgroup.com/primo-explore/search?tab=default_tab&amp;search_scope=EVERYTHING&amp;vid=01CRU&amp;lang=en_US&amp;offset=0&amp;query=any,contains,991005132209702656","Catalog Record")</f>
        <v/>
      </c>
      <c r="AT985">
        <f>HYPERLINK("http://www.worldcat.org/oclc/7573437","WorldCat Record")</f>
        <v/>
      </c>
      <c r="AU985" t="inlineStr">
        <is>
          <t>858269037:eng</t>
        </is>
      </c>
      <c r="AV985" t="inlineStr">
        <is>
          <t>7573437</t>
        </is>
      </c>
      <c r="AW985" t="inlineStr">
        <is>
          <t>991005132209702656</t>
        </is>
      </c>
      <c r="AX985" t="inlineStr">
        <is>
          <t>991005132209702656</t>
        </is>
      </c>
      <c r="AY985" t="inlineStr">
        <is>
          <t>2271524770002656</t>
        </is>
      </c>
      <c r="AZ985" t="inlineStr">
        <is>
          <t>BOOK</t>
        </is>
      </c>
      <c r="BB985" t="inlineStr">
        <is>
          <t>9780387106960</t>
        </is>
      </c>
      <c r="BC985" t="inlineStr">
        <is>
          <t>32285001111458</t>
        </is>
      </c>
      <c r="BD985" t="inlineStr">
        <is>
          <t>893418426</t>
        </is>
      </c>
    </row>
    <row r="986">
      <c r="A986" t="inlineStr">
        <is>
          <t>No</t>
        </is>
      </c>
      <c r="B986" t="inlineStr">
        <is>
          <t>QD453.3 .B64 2003</t>
        </is>
      </c>
      <c r="C986" t="inlineStr">
        <is>
          <t>0                      QD 0453300B  64          2003</t>
        </is>
      </c>
      <c r="D986" t="inlineStr">
        <is>
          <t>The theories of chemistry / Jan C.A. Boeyens.</t>
        </is>
      </c>
      <c r="F986" t="inlineStr">
        <is>
          <t>No</t>
        </is>
      </c>
      <c r="G986" t="inlineStr">
        <is>
          <t>1</t>
        </is>
      </c>
      <c r="H986" t="inlineStr">
        <is>
          <t>No</t>
        </is>
      </c>
      <c r="I986" t="inlineStr">
        <is>
          <t>No</t>
        </is>
      </c>
      <c r="J986" t="inlineStr">
        <is>
          <t>0</t>
        </is>
      </c>
      <c r="K986" t="inlineStr">
        <is>
          <t>Boeyens, J. C. A. (Jan C. A.)</t>
        </is>
      </c>
      <c r="L986" t="inlineStr">
        <is>
          <t>Amsterdam ; Boston : Elsevier, 2003.</t>
        </is>
      </c>
      <c r="M986" t="inlineStr">
        <is>
          <t>2003</t>
        </is>
      </c>
      <c r="N986" t="inlineStr">
        <is>
          <t>1st ed.</t>
        </is>
      </c>
      <c r="O986" t="inlineStr">
        <is>
          <t>eng</t>
        </is>
      </c>
      <c r="P986" t="inlineStr">
        <is>
          <t xml:space="preserve">ne </t>
        </is>
      </c>
      <c r="R986" t="inlineStr">
        <is>
          <t xml:space="preserve">QD </t>
        </is>
      </c>
      <c r="S986" t="n">
        <v>1</v>
      </c>
      <c r="T986" t="n">
        <v>1</v>
      </c>
      <c r="U986" t="inlineStr">
        <is>
          <t>2006-02-13</t>
        </is>
      </c>
      <c r="V986" t="inlineStr">
        <is>
          <t>2006-02-13</t>
        </is>
      </c>
      <c r="W986" t="inlineStr">
        <is>
          <t>2006-02-13</t>
        </is>
      </c>
      <c r="X986" t="inlineStr">
        <is>
          <t>2006-02-13</t>
        </is>
      </c>
      <c r="Y986" t="n">
        <v>153</v>
      </c>
      <c r="Z986" t="n">
        <v>105</v>
      </c>
      <c r="AA986" t="n">
        <v>162</v>
      </c>
      <c r="AB986" t="n">
        <v>2</v>
      </c>
      <c r="AC986" t="n">
        <v>2</v>
      </c>
      <c r="AD986" t="n">
        <v>5</v>
      </c>
      <c r="AE986" t="n">
        <v>7</v>
      </c>
      <c r="AF986" t="n">
        <v>1</v>
      </c>
      <c r="AG986" t="n">
        <v>2</v>
      </c>
      <c r="AH986" t="n">
        <v>2</v>
      </c>
      <c r="AI986" t="n">
        <v>3</v>
      </c>
      <c r="AJ986" t="n">
        <v>3</v>
      </c>
      <c r="AK986" t="n">
        <v>3</v>
      </c>
      <c r="AL986" t="n">
        <v>1</v>
      </c>
      <c r="AM986" t="n">
        <v>1</v>
      </c>
      <c r="AN986" t="n">
        <v>0</v>
      </c>
      <c r="AO986" t="n">
        <v>0</v>
      </c>
      <c r="AP986" t="inlineStr">
        <is>
          <t>No</t>
        </is>
      </c>
      <c r="AQ986" t="inlineStr">
        <is>
          <t>No</t>
        </is>
      </c>
      <c r="AS986">
        <f>HYPERLINK("https://creighton-primo.hosted.exlibrisgroup.com/primo-explore/search?tab=default_tab&amp;search_scope=EVERYTHING&amp;vid=01CRU&amp;lang=en_US&amp;offset=0&amp;query=any,contains,991004724519702656","Catalog Record")</f>
        <v/>
      </c>
      <c r="AT986">
        <f>HYPERLINK("http://www.worldcat.org/oclc/53122424","WorldCat Record")</f>
        <v/>
      </c>
      <c r="AU986" t="inlineStr">
        <is>
          <t>701387:eng</t>
        </is>
      </c>
      <c r="AV986" t="inlineStr">
        <is>
          <t>53122424</t>
        </is>
      </c>
      <c r="AW986" t="inlineStr">
        <is>
          <t>991004724519702656</t>
        </is>
      </c>
      <c r="AX986" t="inlineStr">
        <is>
          <t>991004724519702656</t>
        </is>
      </c>
      <c r="AY986" t="inlineStr">
        <is>
          <t>2266322040002656</t>
        </is>
      </c>
      <c r="AZ986" t="inlineStr">
        <is>
          <t>BOOK</t>
        </is>
      </c>
      <c r="BB986" t="inlineStr">
        <is>
          <t>9780444514912</t>
        </is>
      </c>
      <c r="BC986" t="inlineStr">
        <is>
          <t>32285005158356</t>
        </is>
      </c>
      <c r="BD986" t="inlineStr">
        <is>
          <t>893338061</t>
        </is>
      </c>
    </row>
    <row r="987">
      <c r="A987" t="inlineStr">
        <is>
          <t>No</t>
        </is>
      </c>
      <c r="B987" t="inlineStr">
        <is>
          <t>QD455.2 .S37 1991</t>
        </is>
      </c>
      <c r="C987" t="inlineStr">
        <is>
          <t>0                      QD 0455200S  37          1991</t>
        </is>
      </c>
      <c r="D987" t="inlineStr">
        <is>
          <t>Chemical chaos / Stephen K. Scott.</t>
        </is>
      </c>
      <c r="F987" t="inlineStr">
        <is>
          <t>No</t>
        </is>
      </c>
      <c r="G987" t="inlineStr">
        <is>
          <t>1</t>
        </is>
      </c>
      <c r="H987" t="inlineStr">
        <is>
          <t>No</t>
        </is>
      </c>
      <c r="I987" t="inlineStr">
        <is>
          <t>No</t>
        </is>
      </c>
      <c r="J987" t="inlineStr">
        <is>
          <t>0</t>
        </is>
      </c>
      <c r="K987" t="inlineStr">
        <is>
          <t>Scott, Stephen K.</t>
        </is>
      </c>
      <c r="L987" t="inlineStr">
        <is>
          <t>Oxford : Clarendon Press ; New York : Oxford University Press, 1991.</t>
        </is>
      </c>
      <c r="M987" t="inlineStr">
        <is>
          <t>1991</t>
        </is>
      </c>
      <c r="O987" t="inlineStr">
        <is>
          <t>eng</t>
        </is>
      </c>
      <c r="P987" t="inlineStr">
        <is>
          <t>enk</t>
        </is>
      </c>
      <c r="Q987" t="inlineStr">
        <is>
          <t>International series of monographs on chemistry ; 24</t>
        </is>
      </c>
      <c r="R987" t="inlineStr">
        <is>
          <t xml:space="preserve">QD </t>
        </is>
      </c>
      <c r="S987" t="n">
        <v>4</v>
      </c>
      <c r="T987" t="n">
        <v>4</v>
      </c>
      <c r="U987" t="inlineStr">
        <is>
          <t>1997-11-15</t>
        </is>
      </c>
      <c r="V987" t="inlineStr">
        <is>
          <t>1997-11-15</t>
        </is>
      </c>
      <c r="W987" t="inlineStr">
        <is>
          <t>1991-12-15</t>
        </is>
      </c>
      <c r="X987" t="inlineStr">
        <is>
          <t>1991-12-15</t>
        </is>
      </c>
      <c r="Y987" t="n">
        <v>343</v>
      </c>
      <c r="Z987" t="n">
        <v>237</v>
      </c>
      <c r="AA987" t="n">
        <v>289</v>
      </c>
      <c r="AB987" t="n">
        <v>3</v>
      </c>
      <c r="AC987" t="n">
        <v>4</v>
      </c>
      <c r="AD987" t="n">
        <v>15</v>
      </c>
      <c r="AE987" t="n">
        <v>16</v>
      </c>
      <c r="AF987" t="n">
        <v>5</v>
      </c>
      <c r="AG987" t="n">
        <v>5</v>
      </c>
      <c r="AH987" t="n">
        <v>5</v>
      </c>
      <c r="AI987" t="n">
        <v>5</v>
      </c>
      <c r="AJ987" t="n">
        <v>8</v>
      </c>
      <c r="AK987" t="n">
        <v>8</v>
      </c>
      <c r="AL987" t="n">
        <v>2</v>
      </c>
      <c r="AM987" t="n">
        <v>3</v>
      </c>
      <c r="AN987" t="n">
        <v>0</v>
      </c>
      <c r="AO987" t="n">
        <v>0</v>
      </c>
      <c r="AP987" t="inlineStr">
        <is>
          <t>No</t>
        </is>
      </c>
      <c r="AQ987" t="inlineStr">
        <is>
          <t>Yes</t>
        </is>
      </c>
      <c r="AR987">
        <f>HYPERLINK("http://catalog.hathitrust.org/Record/002490641","HathiTrust Record")</f>
        <v/>
      </c>
      <c r="AS987">
        <f>HYPERLINK("https://creighton-primo.hosted.exlibrisgroup.com/primo-explore/search?tab=default_tab&amp;search_scope=EVERYTHING&amp;vid=01CRU&amp;lang=en_US&amp;offset=0&amp;query=any,contains,991001810039702656","Catalog Record")</f>
        <v/>
      </c>
      <c r="AT987">
        <f>HYPERLINK("http://www.worldcat.org/oclc/22733260","WorldCat Record")</f>
        <v/>
      </c>
      <c r="AU987" t="inlineStr">
        <is>
          <t>24502517:eng</t>
        </is>
      </c>
      <c r="AV987" t="inlineStr">
        <is>
          <t>22733260</t>
        </is>
      </c>
      <c r="AW987" t="inlineStr">
        <is>
          <t>991001810039702656</t>
        </is>
      </c>
      <c r="AX987" t="inlineStr">
        <is>
          <t>991001810039702656</t>
        </is>
      </c>
      <c r="AY987" t="inlineStr">
        <is>
          <t>2267312300002656</t>
        </is>
      </c>
      <c r="AZ987" t="inlineStr">
        <is>
          <t>BOOK</t>
        </is>
      </c>
      <c r="BB987" t="inlineStr">
        <is>
          <t>9780198556510</t>
        </is>
      </c>
      <c r="BC987" t="inlineStr">
        <is>
          <t>32285000860105</t>
        </is>
      </c>
      <c r="BD987" t="inlineStr">
        <is>
          <t>893596750</t>
        </is>
      </c>
    </row>
    <row r="988">
      <c r="A988" t="inlineStr">
        <is>
          <t>No</t>
        </is>
      </c>
      <c r="B988" t="inlineStr">
        <is>
          <t>QD457 .D25 1970</t>
        </is>
      </c>
      <c r="C988" t="inlineStr">
        <is>
          <t>0                      QD 0457000D  25          1970</t>
        </is>
      </c>
      <c r="D988" t="inlineStr">
        <is>
          <t>Experimental physical chemistry / [by] Farrington Daniels [and others]</t>
        </is>
      </c>
      <c r="F988" t="inlineStr">
        <is>
          <t>No</t>
        </is>
      </c>
      <c r="G988" t="inlineStr">
        <is>
          <t>2</t>
        </is>
      </c>
      <c r="H988" t="inlineStr">
        <is>
          <t>No</t>
        </is>
      </c>
      <c r="I988" t="inlineStr">
        <is>
          <t>No</t>
        </is>
      </c>
      <c r="J988" t="inlineStr">
        <is>
          <t>0</t>
        </is>
      </c>
      <c r="K988" t="inlineStr">
        <is>
          <t>Daniels, Farrington, 1889-1972.</t>
        </is>
      </c>
      <c r="L988" t="inlineStr">
        <is>
          <t>New York : McGraw-Hill, [1970]</t>
        </is>
      </c>
      <c r="M988" t="inlineStr">
        <is>
          <t>1970</t>
        </is>
      </c>
      <c r="N988" t="inlineStr">
        <is>
          <t>7th ed.</t>
        </is>
      </c>
      <c r="O988" t="inlineStr">
        <is>
          <t>eng</t>
        </is>
      </c>
      <c r="P988" t="inlineStr">
        <is>
          <t>nyu</t>
        </is>
      </c>
      <c r="R988" t="inlineStr">
        <is>
          <t xml:space="preserve">QD </t>
        </is>
      </c>
      <c r="S988" t="n">
        <v>16</v>
      </c>
      <c r="T988" t="n">
        <v>16</v>
      </c>
      <c r="U988" t="inlineStr">
        <is>
          <t>2008-02-18</t>
        </is>
      </c>
      <c r="V988" t="inlineStr">
        <is>
          <t>2008-02-18</t>
        </is>
      </c>
      <c r="W988" t="inlineStr">
        <is>
          <t>1993-10-13</t>
        </is>
      </c>
      <c r="X988" t="inlineStr">
        <is>
          <t>1993-10-13</t>
        </is>
      </c>
      <c r="Y988" t="n">
        <v>552</v>
      </c>
      <c r="Z988" t="n">
        <v>416</v>
      </c>
      <c r="AA988" t="n">
        <v>766</v>
      </c>
      <c r="AB988" t="n">
        <v>2</v>
      </c>
      <c r="AC988" t="n">
        <v>7</v>
      </c>
      <c r="AD988" t="n">
        <v>12</v>
      </c>
      <c r="AE988" t="n">
        <v>29</v>
      </c>
      <c r="AF988" t="n">
        <v>7</v>
      </c>
      <c r="AG988" t="n">
        <v>12</v>
      </c>
      <c r="AH988" t="n">
        <v>1</v>
      </c>
      <c r="AI988" t="n">
        <v>4</v>
      </c>
      <c r="AJ988" t="n">
        <v>7</v>
      </c>
      <c r="AK988" t="n">
        <v>13</v>
      </c>
      <c r="AL988" t="n">
        <v>1</v>
      </c>
      <c r="AM988" t="n">
        <v>6</v>
      </c>
      <c r="AN988" t="n">
        <v>0</v>
      </c>
      <c r="AO988" t="n">
        <v>0</v>
      </c>
      <c r="AP988" t="inlineStr">
        <is>
          <t>No</t>
        </is>
      </c>
      <c r="AQ988" t="inlineStr">
        <is>
          <t>Yes</t>
        </is>
      </c>
      <c r="AR988">
        <f>HYPERLINK("http://catalog.hathitrust.org/Record/000000554","HathiTrust Record")</f>
        <v/>
      </c>
      <c r="AS988">
        <f>HYPERLINK("https://creighton-primo.hosted.exlibrisgroup.com/primo-explore/search?tab=default_tab&amp;search_scope=EVERYTHING&amp;vid=01CRU&amp;lang=en_US&amp;offset=0&amp;query=any,contains,991000132629702656","Catalog Record")</f>
        <v/>
      </c>
      <c r="AT988">
        <f>HYPERLINK("http://www.worldcat.org/oclc/54724","WorldCat Record")</f>
        <v/>
      </c>
      <c r="AU988" t="inlineStr">
        <is>
          <t>2847098705:eng</t>
        </is>
      </c>
      <c r="AV988" t="inlineStr">
        <is>
          <t>54724</t>
        </is>
      </c>
      <c r="AW988" t="inlineStr">
        <is>
          <t>991000132629702656</t>
        </is>
      </c>
      <c r="AX988" t="inlineStr">
        <is>
          <t>991000132629702656</t>
        </is>
      </c>
      <c r="AY988" t="inlineStr">
        <is>
          <t>2258109610002656</t>
        </is>
      </c>
      <c r="AZ988" t="inlineStr">
        <is>
          <t>BOOK</t>
        </is>
      </c>
      <c r="BC988" t="inlineStr">
        <is>
          <t>32285001790749</t>
        </is>
      </c>
      <c r="BD988" t="inlineStr">
        <is>
          <t>893249114</t>
        </is>
      </c>
    </row>
    <row r="989">
      <c r="A989" t="inlineStr">
        <is>
          <t>No</t>
        </is>
      </c>
      <c r="B989" t="inlineStr">
        <is>
          <t>QD457 .R63</t>
        </is>
      </c>
      <c r="C989" t="inlineStr">
        <is>
          <t>0                      QD 0457000R  63</t>
        </is>
      </c>
      <c r="D989" t="inlineStr">
        <is>
          <t>Advanced physico-chemical experiments; a textbook of practical physical chemistry and calculations, by J. Rose.</t>
        </is>
      </c>
      <c r="F989" t="inlineStr">
        <is>
          <t>No</t>
        </is>
      </c>
      <c r="G989" t="inlineStr">
        <is>
          <t>1</t>
        </is>
      </c>
      <c r="H989" t="inlineStr">
        <is>
          <t>No</t>
        </is>
      </c>
      <c r="I989" t="inlineStr">
        <is>
          <t>No</t>
        </is>
      </c>
      <c r="J989" t="inlineStr">
        <is>
          <t>0</t>
        </is>
      </c>
      <c r="K989" t="inlineStr">
        <is>
          <t>Rose, John, 1917-</t>
        </is>
      </c>
      <c r="L989" t="inlineStr">
        <is>
          <t>New York, J. Wiley [1964]</t>
        </is>
      </c>
      <c r="M989" t="inlineStr">
        <is>
          <t>1964</t>
        </is>
      </c>
      <c r="O989" t="inlineStr">
        <is>
          <t>eng</t>
        </is>
      </c>
      <c r="P989" t="inlineStr">
        <is>
          <t>nyu</t>
        </is>
      </c>
      <c r="R989" t="inlineStr">
        <is>
          <t xml:space="preserve">QD </t>
        </is>
      </c>
      <c r="S989" t="n">
        <v>2</v>
      </c>
      <c r="T989" t="n">
        <v>2</v>
      </c>
      <c r="U989" t="inlineStr">
        <is>
          <t>2004-03-30</t>
        </is>
      </c>
      <c r="V989" t="inlineStr">
        <is>
          <t>2004-03-30</t>
        </is>
      </c>
      <c r="W989" t="inlineStr">
        <is>
          <t>1997-06-12</t>
        </is>
      </c>
      <c r="X989" t="inlineStr">
        <is>
          <t>1997-06-12</t>
        </is>
      </c>
      <c r="Y989" t="n">
        <v>142</v>
      </c>
      <c r="Z989" t="n">
        <v>129</v>
      </c>
      <c r="AA989" t="n">
        <v>155</v>
      </c>
      <c r="AB989" t="n">
        <v>1</v>
      </c>
      <c r="AC989" t="n">
        <v>1</v>
      </c>
      <c r="AD989" t="n">
        <v>6</v>
      </c>
      <c r="AE989" t="n">
        <v>7</v>
      </c>
      <c r="AF989" t="n">
        <v>1</v>
      </c>
      <c r="AG989" t="n">
        <v>1</v>
      </c>
      <c r="AH989" t="n">
        <v>2</v>
      </c>
      <c r="AI989" t="n">
        <v>2</v>
      </c>
      <c r="AJ989" t="n">
        <v>4</v>
      </c>
      <c r="AK989" t="n">
        <v>5</v>
      </c>
      <c r="AL989" t="n">
        <v>0</v>
      </c>
      <c r="AM989" t="n">
        <v>0</v>
      </c>
      <c r="AN989" t="n">
        <v>0</v>
      </c>
      <c r="AO989" t="n">
        <v>0</v>
      </c>
      <c r="AP989" t="inlineStr">
        <is>
          <t>No</t>
        </is>
      </c>
      <c r="AQ989" t="inlineStr">
        <is>
          <t>No</t>
        </is>
      </c>
      <c r="AS989">
        <f>HYPERLINK("https://creighton-primo.hosted.exlibrisgroup.com/primo-explore/search?tab=default_tab&amp;search_scope=EVERYTHING&amp;vid=01CRU&amp;lang=en_US&amp;offset=0&amp;query=any,contains,991003733849702656","Catalog Record")</f>
        <v/>
      </c>
      <c r="AT989">
        <f>HYPERLINK("http://www.worldcat.org/oclc/1387193","WorldCat Record")</f>
        <v/>
      </c>
      <c r="AU989" t="inlineStr">
        <is>
          <t>2328453:eng</t>
        </is>
      </c>
      <c r="AV989" t="inlineStr">
        <is>
          <t>1387193</t>
        </is>
      </c>
      <c r="AW989" t="inlineStr">
        <is>
          <t>991003733849702656</t>
        </is>
      </c>
      <c r="AX989" t="inlineStr">
        <is>
          <t>991003733849702656</t>
        </is>
      </c>
      <c r="AY989" t="inlineStr">
        <is>
          <t>2263779650002656</t>
        </is>
      </c>
      <c r="AZ989" t="inlineStr">
        <is>
          <t>BOOK</t>
        </is>
      </c>
      <c r="BC989" t="inlineStr">
        <is>
          <t>32285002805934</t>
        </is>
      </c>
      <c r="BD989" t="inlineStr">
        <is>
          <t>893252696</t>
        </is>
      </c>
    </row>
    <row r="990">
      <c r="A990" t="inlineStr">
        <is>
          <t>No</t>
        </is>
      </c>
      <c r="B990" t="inlineStr">
        <is>
          <t>QD457 .S3 1966</t>
        </is>
      </c>
      <c r="C990" t="inlineStr">
        <is>
          <t>0                      QD 0457000S  3           1966</t>
        </is>
      </c>
      <c r="D990" t="inlineStr">
        <is>
          <t>Laboratory course in physical chemistry / [by] Hugh W. Salzberg, Jack I. Morrow, and Stephen R. Cohen.</t>
        </is>
      </c>
      <c r="F990" t="inlineStr">
        <is>
          <t>No</t>
        </is>
      </c>
      <c r="G990" t="inlineStr">
        <is>
          <t>1</t>
        </is>
      </c>
      <c r="H990" t="inlineStr">
        <is>
          <t>No</t>
        </is>
      </c>
      <c r="I990" t="inlineStr">
        <is>
          <t>No</t>
        </is>
      </c>
      <c r="J990" t="inlineStr">
        <is>
          <t>0</t>
        </is>
      </c>
      <c r="K990" t="inlineStr">
        <is>
          <t>Salzberg, Hugh W.</t>
        </is>
      </c>
      <c r="L990" t="inlineStr">
        <is>
          <t>New York : Academic Press, 1966.</t>
        </is>
      </c>
      <c r="M990" t="inlineStr">
        <is>
          <t>1966</t>
        </is>
      </c>
      <c r="O990" t="inlineStr">
        <is>
          <t>eng</t>
        </is>
      </c>
      <c r="P990" t="inlineStr">
        <is>
          <t xml:space="preserve">xx </t>
        </is>
      </c>
      <c r="R990" t="inlineStr">
        <is>
          <t xml:space="preserve">QD </t>
        </is>
      </c>
      <c r="S990" t="n">
        <v>3</v>
      </c>
      <c r="T990" t="n">
        <v>3</v>
      </c>
      <c r="U990" t="inlineStr">
        <is>
          <t>2004-03-18</t>
        </is>
      </c>
      <c r="V990" t="inlineStr">
        <is>
          <t>2004-03-18</t>
        </is>
      </c>
      <c r="W990" t="inlineStr">
        <is>
          <t>1994-05-06</t>
        </is>
      </c>
      <c r="X990" t="inlineStr">
        <is>
          <t>1994-05-06</t>
        </is>
      </c>
      <c r="Y990" t="n">
        <v>220</v>
      </c>
      <c r="Z990" t="n">
        <v>145</v>
      </c>
      <c r="AA990" t="n">
        <v>153</v>
      </c>
      <c r="AB990" t="n">
        <v>4</v>
      </c>
      <c r="AC990" t="n">
        <v>4</v>
      </c>
      <c r="AD990" t="n">
        <v>9</v>
      </c>
      <c r="AE990" t="n">
        <v>9</v>
      </c>
      <c r="AF990" t="n">
        <v>1</v>
      </c>
      <c r="AG990" t="n">
        <v>1</v>
      </c>
      <c r="AH990" t="n">
        <v>2</v>
      </c>
      <c r="AI990" t="n">
        <v>2</v>
      </c>
      <c r="AJ990" t="n">
        <v>6</v>
      </c>
      <c r="AK990" t="n">
        <v>6</v>
      </c>
      <c r="AL990" t="n">
        <v>3</v>
      </c>
      <c r="AM990" t="n">
        <v>3</v>
      </c>
      <c r="AN990" t="n">
        <v>0</v>
      </c>
      <c r="AO990" t="n">
        <v>0</v>
      </c>
      <c r="AP990" t="inlineStr">
        <is>
          <t>No</t>
        </is>
      </c>
      <c r="AQ990" t="inlineStr">
        <is>
          <t>Yes</t>
        </is>
      </c>
      <c r="AR990">
        <f>HYPERLINK("http://catalog.hathitrust.org/Record/004728462","HathiTrust Record")</f>
        <v/>
      </c>
      <c r="AS990">
        <f>HYPERLINK("https://creighton-primo.hosted.exlibrisgroup.com/primo-explore/search?tab=default_tab&amp;search_scope=EVERYTHING&amp;vid=01CRU&amp;lang=en_US&amp;offset=0&amp;query=any,contains,991003649049702656","Catalog Record")</f>
        <v/>
      </c>
      <c r="AT990">
        <f>HYPERLINK("http://www.worldcat.org/oclc/1252566","WorldCat Record")</f>
        <v/>
      </c>
      <c r="AU990" t="inlineStr">
        <is>
          <t>2166432:eng</t>
        </is>
      </c>
      <c r="AV990" t="inlineStr">
        <is>
          <t>1252566</t>
        </is>
      </c>
      <c r="AW990" t="inlineStr">
        <is>
          <t>991003649049702656</t>
        </is>
      </c>
      <c r="AX990" t="inlineStr">
        <is>
          <t>991003649049702656</t>
        </is>
      </c>
      <c r="AY990" t="inlineStr">
        <is>
          <t>2260060100002656</t>
        </is>
      </c>
      <c r="AZ990" t="inlineStr">
        <is>
          <t>BOOK</t>
        </is>
      </c>
      <c r="BC990" t="inlineStr">
        <is>
          <t>32285001907228</t>
        </is>
      </c>
      <c r="BD990" t="inlineStr">
        <is>
          <t>893348949</t>
        </is>
      </c>
    </row>
    <row r="991">
      <c r="A991" t="inlineStr">
        <is>
          <t>No</t>
        </is>
      </c>
      <c r="B991" t="inlineStr">
        <is>
          <t>QD457 .S65 2009</t>
        </is>
      </c>
      <c r="C991" t="inlineStr">
        <is>
          <t>0                      QD 0457000S  65          2009</t>
        </is>
      </c>
      <c r="D991" t="inlineStr">
        <is>
          <t>Everyday investigations for general chemistry / Sally Solomon, Susan Rutkowsky, Charles Boritz.</t>
        </is>
      </c>
      <c r="F991" t="inlineStr">
        <is>
          <t>No</t>
        </is>
      </c>
      <c r="G991" t="inlineStr">
        <is>
          <t>1</t>
        </is>
      </c>
      <c r="H991" t="inlineStr">
        <is>
          <t>No</t>
        </is>
      </c>
      <c r="I991" t="inlineStr">
        <is>
          <t>No</t>
        </is>
      </c>
      <c r="J991" t="inlineStr">
        <is>
          <t>0</t>
        </is>
      </c>
      <c r="K991" t="inlineStr">
        <is>
          <t>Solomon, Sally.</t>
        </is>
      </c>
      <c r="L991" t="inlineStr">
        <is>
          <t>Hoboken, N.J. : John Wiley &amp; Sons, c2009.</t>
        </is>
      </c>
      <c r="M991" t="inlineStr">
        <is>
          <t>2009</t>
        </is>
      </c>
      <c r="O991" t="inlineStr">
        <is>
          <t>eng</t>
        </is>
      </c>
      <c r="P991" t="inlineStr">
        <is>
          <t>nju</t>
        </is>
      </c>
      <c r="R991" t="inlineStr">
        <is>
          <t xml:space="preserve">QD </t>
        </is>
      </c>
      <c r="S991" t="n">
        <v>3</v>
      </c>
      <c r="T991" t="n">
        <v>3</v>
      </c>
      <c r="U991" t="inlineStr">
        <is>
          <t>2010-07-19</t>
        </is>
      </c>
      <c r="V991" t="inlineStr">
        <is>
          <t>2010-07-19</t>
        </is>
      </c>
      <c r="W991" t="inlineStr">
        <is>
          <t>2008-10-07</t>
        </is>
      </c>
      <c r="X991" t="inlineStr">
        <is>
          <t>2008-10-07</t>
        </is>
      </c>
      <c r="Y991" t="n">
        <v>61</v>
      </c>
      <c r="Z991" t="n">
        <v>30</v>
      </c>
      <c r="AA991" t="n">
        <v>30</v>
      </c>
      <c r="AB991" t="n">
        <v>1</v>
      </c>
      <c r="AC991" t="n">
        <v>1</v>
      </c>
      <c r="AD991" t="n">
        <v>0</v>
      </c>
      <c r="AE991" t="n">
        <v>0</v>
      </c>
      <c r="AF991" t="n">
        <v>0</v>
      </c>
      <c r="AG991" t="n">
        <v>0</v>
      </c>
      <c r="AH991" t="n">
        <v>0</v>
      </c>
      <c r="AI991" t="n">
        <v>0</v>
      </c>
      <c r="AJ991" t="n">
        <v>0</v>
      </c>
      <c r="AK991" t="n">
        <v>0</v>
      </c>
      <c r="AL991" t="n">
        <v>0</v>
      </c>
      <c r="AM991" t="n">
        <v>0</v>
      </c>
      <c r="AN991" t="n">
        <v>0</v>
      </c>
      <c r="AO991" t="n">
        <v>0</v>
      </c>
      <c r="AP991" t="inlineStr">
        <is>
          <t>No</t>
        </is>
      </c>
      <c r="AQ991" t="inlineStr">
        <is>
          <t>No</t>
        </is>
      </c>
      <c r="AS991">
        <f>HYPERLINK("https://creighton-primo.hosted.exlibrisgroup.com/primo-explore/search?tab=default_tab&amp;search_scope=EVERYTHING&amp;vid=01CRU&amp;lang=en_US&amp;offset=0&amp;query=any,contains,991005266789702656","Catalog Record")</f>
        <v/>
      </c>
      <c r="AT991">
        <f>HYPERLINK("http://www.worldcat.org/oclc/213080075","WorldCat Record")</f>
        <v/>
      </c>
      <c r="AU991" t="inlineStr">
        <is>
          <t>131268372:eng</t>
        </is>
      </c>
      <c r="AV991" t="inlineStr">
        <is>
          <t>213080075</t>
        </is>
      </c>
      <c r="AW991" t="inlineStr">
        <is>
          <t>991005266789702656</t>
        </is>
      </c>
      <c r="AX991" t="inlineStr">
        <is>
          <t>991005266789702656</t>
        </is>
      </c>
      <c r="AY991" t="inlineStr">
        <is>
          <t>2268781800002656</t>
        </is>
      </c>
      <c r="AZ991" t="inlineStr">
        <is>
          <t>BOOK</t>
        </is>
      </c>
      <c r="BB991" t="inlineStr">
        <is>
          <t>9780470085103</t>
        </is>
      </c>
      <c r="BC991" t="inlineStr">
        <is>
          <t>32285005461693</t>
        </is>
      </c>
      <c r="BD991" t="inlineStr">
        <is>
          <t>893889945</t>
        </is>
      </c>
    </row>
    <row r="992">
      <c r="A992" t="inlineStr">
        <is>
          <t>No</t>
        </is>
      </c>
      <c r="B992" t="inlineStr">
        <is>
          <t>QD457 .W5</t>
        </is>
      </c>
      <c r="C992" t="inlineStr">
        <is>
          <t>0                      QD 0457000W  5</t>
        </is>
      </c>
      <c r="D992" t="inlineStr">
        <is>
          <t>Experiments in physical chemistry.</t>
        </is>
      </c>
      <c r="F992" t="inlineStr">
        <is>
          <t>No</t>
        </is>
      </c>
      <c r="G992" t="inlineStr">
        <is>
          <t>1</t>
        </is>
      </c>
      <c r="H992" t="inlineStr">
        <is>
          <t>No</t>
        </is>
      </c>
      <c r="I992" t="inlineStr">
        <is>
          <t>No</t>
        </is>
      </c>
      <c r="J992" t="inlineStr">
        <is>
          <t>0</t>
        </is>
      </c>
      <c r="K992" t="inlineStr">
        <is>
          <t>Wilson, James Matchett.</t>
        </is>
      </c>
      <c r="L992" t="inlineStr">
        <is>
          <t>Oxford, New York, Pergamon Press, 1962.</t>
        </is>
      </c>
      <c r="M992" t="inlineStr">
        <is>
          <t>1962</t>
        </is>
      </c>
      <c r="O992" t="inlineStr">
        <is>
          <t>eng</t>
        </is>
      </c>
      <c r="P992" t="inlineStr">
        <is>
          <t xml:space="preserve">xx </t>
        </is>
      </c>
      <c r="R992" t="inlineStr">
        <is>
          <t xml:space="preserve">QD </t>
        </is>
      </c>
      <c r="S992" t="n">
        <v>4</v>
      </c>
      <c r="T992" t="n">
        <v>4</v>
      </c>
      <c r="U992" t="inlineStr">
        <is>
          <t>2004-03-30</t>
        </is>
      </c>
      <c r="V992" t="inlineStr">
        <is>
          <t>2004-03-30</t>
        </is>
      </c>
      <c r="W992" t="inlineStr">
        <is>
          <t>1997-06-12</t>
        </is>
      </c>
      <c r="X992" t="inlineStr">
        <is>
          <t>1997-06-12</t>
        </is>
      </c>
      <c r="Y992" t="n">
        <v>211</v>
      </c>
      <c r="Z992" t="n">
        <v>129</v>
      </c>
      <c r="AA992" t="n">
        <v>302</v>
      </c>
      <c r="AB992" t="n">
        <v>2</v>
      </c>
      <c r="AC992" t="n">
        <v>3</v>
      </c>
      <c r="AD992" t="n">
        <v>8</v>
      </c>
      <c r="AE992" t="n">
        <v>14</v>
      </c>
      <c r="AF992" t="n">
        <v>2</v>
      </c>
      <c r="AG992" t="n">
        <v>6</v>
      </c>
      <c r="AH992" t="n">
        <v>2</v>
      </c>
      <c r="AI992" t="n">
        <v>4</v>
      </c>
      <c r="AJ992" t="n">
        <v>5</v>
      </c>
      <c r="AK992" t="n">
        <v>5</v>
      </c>
      <c r="AL992" t="n">
        <v>1</v>
      </c>
      <c r="AM992" t="n">
        <v>2</v>
      </c>
      <c r="AN992" t="n">
        <v>0</v>
      </c>
      <c r="AO992" t="n">
        <v>0</v>
      </c>
      <c r="AP992" t="inlineStr">
        <is>
          <t>No</t>
        </is>
      </c>
      <c r="AQ992" t="inlineStr">
        <is>
          <t>Yes</t>
        </is>
      </c>
      <c r="AR992">
        <f>HYPERLINK("http://catalog.hathitrust.org/Record/001034397","HathiTrust Record")</f>
        <v/>
      </c>
      <c r="AS992">
        <f>HYPERLINK("https://creighton-primo.hosted.exlibrisgroup.com/primo-explore/search?tab=default_tab&amp;search_scope=EVERYTHING&amp;vid=01CRU&amp;lang=en_US&amp;offset=0&amp;query=any,contains,991002961659702656","Catalog Record")</f>
        <v/>
      </c>
      <c r="AT992">
        <f>HYPERLINK("http://www.worldcat.org/oclc/544137","WorldCat Record")</f>
        <v/>
      </c>
      <c r="AU992" t="inlineStr">
        <is>
          <t>12485302:eng</t>
        </is>
      </c>
      <c r="AV992" t="inlineStr">
        <is>
          <t>544137</t>
        </is>
      </c>
      <c r="AW992" t="inlineStr">
        <is>
          <t>991002961659702656</t>
        </is>
      </c>
      <c r="AX992" t="inlineStr">
        <is>
          <t>991002961659702656</t>
        </is>
      </c>
      <c r="AY992" t="inlineStr">
        <is>
          <t>2268086420002656</t>
        </is>
      </c>
      <c r="AZ992" t="inlineStr">
        <is>
          <t>BOOK</t>
        </is>
      </c>
      <c r="BC992" t="inlineStr">
        <is>
          <t>32285002805959</t>
        </is>
      </c>
      <c r="BD992" t="inlineStr">
        <is>
          <t>893415858</t>
        </is>
      </c>
    </row>
    <row r="993">
      <c r="A993" t="inlineStr">
        <is>
          <t>No</t>
        </is>
      </c>
      <c r="B993" t="inlineStr">
        <is>
          <t>QD457 .W55 2008</t>
        </is>
      </c>
      <c r="C993" t="inlineStr">
        <is>
          <t>0                      QD 0457000W  55          2008</t>
        </is>
      </c>
      <c r="D993" t="inlineStr">
        <is>
          <t>Hooked on PChem lab : physical chemistry laboratory manual / Robb J. Wilson.</t>
        </is>
      </c>
      <c r="F993" t="inlineStr">
        <is>
          <t>No</t>
        </is>
      </c>
      <c r="G993" t="inlineStr">
        <is>
          <t>1</t>
        </is>
      </c>
      <c r="H993" t="inlineStr">
        <is>
          <t>No</t>
        </is>
      </c>
      <c r="I993" t="inlineStr">
        <is>
          <t>No</t>
        </is>
      </c>
      <c r="J993" t="inlineStr">
        <is>
          <t>0</t>
        </is>
      </c>
      <c r="K993" t="inlineStr">
        <is>
          <t>Wilson, Robb J.</t>
        </is>
      </c>
      <c r="L993" t="inlineStr">
        <is>
          <t>Dubuque, IA : Kendal Hunt, c2008.</t>
        </is>
      </c>
      <c r="M993" t="inlineStr">
        <is>
          <t>2008</t>
        </is>
      </c>
      <c r="O993" t="inlineStr">
        <is>
          <t>eng</t>
        </is>
      </c>
      <c r="P993" t="inlineStr">
        <is>
          <t>iau</t>
        </is>
      </c>
      <c r="R993" t="inlineStr">
        <is>
          <t xml:space="preserve">QD </t>
        </is>
      </c>
      <c r="S993" t="n">
        <v>1</v>
      </c>
      <c r="T993" t="n">
        <v>1</v>
      </c>
      <c r="U993" t="inlineStr">
        <is>
          <t>2010-06-22</t>
        </is>
      </c>
      <c r="V993" t="inlineStr">
        <is>
          <t>2010-06-22</t>
        </is>
      </c>
      <c r="W993" t="inlineStr">
        <is>
          <t>2010-06-22</t>
        </is>
      </c>
      <c r="X993" t="inlineStr">
        <is>
          <t>2010-06-22</t>
        </is>
      </c>
      <c r="Y993" t="n">
        <v>3</v>
      </c>
      <c r="Z993" t="n">
        <v>3</v>
      </c>
      <c r="AA993" t="n">
        <v>3</v>
      </c>
      <c r="AB993" t="n">
        <v>0</v>
      </c>
      <c r="AC993" t="n">
        <v>0</v>
      </c>
      <c r="AD993" t="n">
        <v>0</v>
      </c>
      <c r="AE993" t="n">
        <v>0</v>
      </c>
      <c r="AF993" t="n">
        <v>0</v>
      </c>
      <c r="AG993" t="n">
        <v>0</v>
      </c>
      <c r="AH993" t="n">
        <v>0</v>
      </c>
      <c r="AI993" t="n">
        <v>0</v>
      </c>
      <c r="AJ993" t="n">
        <v>0</v>
      </c>
      <c r="AK993" t="n">
        <v>0</v>
      </c>
      <c r="AL993" t="n">
        <v>0</v>
      </c>
      <c r="AM993" t="n">
        <v>0</v>
      </c>
      <c r="AN993" t="n">
        <v>0</v>
      </c>
      <c r="AO993" t="n">
        <v>0</v>
      </c>
      <c r="AP993" t="inlineStr">
        <is>
          <t>No</t>
        </is>
      </c>
      <c r="AQ993" t="inlineStr">
        <is>
          <t>No</t>
        </is>
      </c>
      <c r="AS993">
        <f>HYPERLINK("https://creighton-primo.hosted.exlibrisgroup.com/primo-explore/search?tab=default_tab&amp;search_scope=EVERYTHING&amp;vid=01CRU&amp;lang=en_US&amp;offset=0&amp;query=any,contains,991005380239702656","Catalog Record")</f>
        <v/>
      </c>
      <c r="AT993">
        <f>HYPERLINK("http://www.worldcat.org/oclc/262432261","WorldCat Record")</f>
        <v/>
      </c>
      <c r="AU993" t="inlineStr">
        <is>
          <t>154441719:eng</t>
        </is>
      </c>
      <c r="AV993" t="inlineStr">
        <is>
          <t>262432261</t>
        </is>
      </c>
      <c r="AW993" t="inlineStr">
        <is>
          <t>991005380239702656</t>
        </is>
      </c>
      <c r="AX993" t="inlineStr">
        <is>
          <t>991005380239702656</t>
        </is>
      </c>
      <c r="AY993" t="inlineStr">
        <is>
          <t>2259097910002656</t>
        </is>
      </c>
      <c r="AZ993" t="inlineStr">
        <is>
          <t>BOOK</t>
        </is>
      </c>
      <c r="BB993" t="inlineStr">
        <is>
          <t>9780757552090</t>
        </is>
      </c>
      <c r="BC993" t="inlineStr">
        <is>
          <t>32285005583736</t>
        </is>
      </c>
      <c r="BD993" t="inlineStr">
        <is>
          <t>893425086</t>
        </is>
      </c>
    </row>
    <row r="994">
      <c r="A994" t="inlineStr">
        <is>
          <t>No</t>
        </is>
      </c>
      <c r="B994" t="inlineStr">
        <is>
          <t>QD461 .A66</t>
        </is>
      </c>
      <c r="C994" t="inlineStr">
        <is>
          <t>0                      QD 0461000A  66</t>
        </is>
      </c>
      <c r="D994" t="inlineStr">
        <is>
          <t>Applications of electronic structure theory / edited by Henry F. Schaefer III.</t>
        </is>
      </c>
      <c r="F994" t="inlineStr">
        <is>
          <t>No</t>
        </is>
      </c>
      <c r="G994" t="inlineStr">
        <is>
          <t>1</t>
        </is>
      </c>
      <c r="H994" t="inlineStr">
        <is>
          <t>No</t>
        </is>
      </c>
      <c r="I994" t="inlineStr">
        <is>
          <t>No</t>
        </is>
      </c>
      <c r="J994" t="inlineStr">
        <is>
          <t>0</t>
        </is>
      </c>
      <c r="L994" t="inlineStr">
        <is>
          <t>New York : Plenum Press, c1977.</t>
        </is>
      </c>
      <c r="M994" t="inlineStr">
        <is>
          <t>1977</t>
        </is>
      </c>
      <c r="O994" t="inlineStr">
        <is>
          <t>eng</t>
        </is>
      </c>
      <c r="P994" t="inlineStr">
        <is>
          <t>nyu</t>
        </is>
      </c>
      <c r="Q994" t="inlineStr">
        <is>
          <t>Modern theoretical chemistry ; 4</t>
        </is>
      </c>
      <c r="R994" t="inlineStr">
        <is>
          <t xml:space="preserve">QD </t>
        </is>
      </c>
      <c r="S994" t="n">
        <v>2</v>
      </c>
      <c r="T994" t="n">
        <v>2</v>
      </c>
      <c r="U994" t="inlineStr">
        <is>
          <t>2009-04-30</t>
        </is>
      </c>
      <c r="V994" t="inlineStr">
        <is>
          <t>2009-04-30</t>
        </is>
      </c>
      <c r="W994" t="inlineStr">
        <is>
          <t>1993-12-08</t>
        </is>
      </c>
      <c r="X994" t="inlineStr">
        <is>
          <t>1993-12-08</t>
        </is>
      </c>
      <c r="Y994" t="n">
        <v>329</v>
      </c>
      <c r="Z994" t="n">
        <v>225</v>
      </c>
      <c r="AA994" t="n">
        <v>241</v>
      </c>
      <c r="AB994" t="n">
        <v>2</v>
      </c>
      <c r="AC994" t="n">
        <v>2</v>
      </c>
      <c r="AD994" t="n">
        <v>11</v>
      </c>
      <c r="AE994" t="n">
        <v>11</v>
      </c>
      <c r="AF994" t="n">
        <v>2</v>
      </c>
      <c r="AG994" t="n">
        <v>2</v>
      </c>
      <c r="AH994" t="n">
        <v>3</v>
      </c>
      <c r="AI994" t="n">
        <v>3</v>
      </c>
      <c r="AJ994" t="n">
        <v>9</v>
      </c>
      <c r="AK994" t="n">
        <v>9</v>
      </c>
      <c r="AL994" t="n">
        <v>1</v>
      </c>
      <c r="AM994" t="n">
        <v>1</v>
      </c>
      <c r="AN994" t="n">
        <v>0</v>
      </c>
      <c r="AO994" t="n">
        <v>0</v>
      </c>
      <c r="AP994" t="inlineStr">
        <is>
          <t>No</t>
        </is>
      </c>
      <c r="AQ994" t="inlineStr">
        <is>
          <t>Yes</t>
        </is>
      </c>
      <c r="AR994">
        <f>HYPERLINK("http://catalog.hathitrust.org/Record/000191029","HathiTrust Record")</f>
        <v/>
      </c>
      <c r="AS994">
        <f>HYPERLINK("https://creighton-primo.hosted.exlibrisgroup.com/primo-explore/search?tab=default_tab&amp;search_scope=EVERYTHING&amp;vid=01CRU&amp;lang=en_US&amp;offset=0&amp;query=any,contains,991004247549702656","Catalog Record")</f>
        <v/>
      </c>
      <c r="AT994">
        <f>HYPERLINK("http://www.worldcat.org/oclc/2798907","WorldCat Record")</f>
        <v/>
      </c>
      <c r="AU994" t="inlineStr">
        <is>
          <t>436726:eng</t>
        </is>
      </c>
      <c r="AV994" t="inlineStr">
        <is>
          <t>2798907</t>
        </is>
      </c>
      <c r="AW994" t="inlineStr">
        <is>
          <t>991004247549702656</t>
        </is>
      </c>
      <c r="AX994" t="inlineStr">
        <is>
          <t>991004247549702656</t>
        </is>
      </c>
      <c r="AY994" t="inlineStr">
        <is>
          <t>2270916060002656</t>
        </is>
      </c>
      <c r="AZ994" t="inlineStr">
        <is>
          <t>BOOK</t>
        </is>
      </c>
      <c r="BB994" t="inlineStr">
        <is>
          <t>9780306335044</t>
        </is>
      </c>
      <c r="BC994" t="inlineStr">
        <is>
          <t>32285001806552</t>
        </is>
      </c>
      <c r="BD994" t="inlineStr">
        <is>
          <t>893706145</t>
        </is>
      </c>
    </row>
    <row r="995">
      <c r="A995" t="inlineStr">
        <is>
          <t>No</t>
        </is>
      </c>
      <c r="B995" t="inlineStr">
        <is>
          <t>QD461 .A83 2003</t>
        </is>
      </c>
      <c r="C995" t="inlineStr">
        <is>
          <t>0                      QD 0461000A  83          2003</t>
        </is>
      </c>
      <c r="D995" t="inlineStr">
        <is>
          <t>Atkins' molecules / Peter Atkins.</t>
        </is>
      </c>
      <c r="F995" t="inlineStr">
        <is>
          <t>No</t>
        </is>
      </c>
      <c r="G995" t="inlineStr">
        <is>
          <t>1</t>
        </is>
      </c>
      <c r="H995" t="inlineStr">
        <is>
          <t>No</t>
        </is>
      </c>
      <c r="I995" t="inlineStr">
        <is>
          <t>No</t>
        </is>
      </c>
      <c r="J995" t="inlineStr">
        <is>
          <t>0</t>
        </is>
      </c>
      <c r="K995" t="inlineStr">
        <is>
          <t>Atkins, P. W. (Peter William), 1940-</t>
        </is>
      </c>
      <c r="L995" t="inlineStr">
        <is>
          <t>Cambridge, U.K. ; New York : Cambridge University Press, 2003.</t>
        </is>
      </c>
      <c r="M995" t="inlineStr">
        <is>
          <t>2003</t>
        </is>
      </c>
      <c r="N995" t="inlineStr">
        <is>
          <t>2nd ed.</t>
        </is>
      </c>
      <c r="O995" t="inlineStr">
        <is>
          <t>eng</t>
        </is>
      </c>
      <c r="P995" t="inlineStr">
        <is>
          <t>enk</t>
        </is>
      </c>
      <c r="R995" t="inlineStr">
        <is>
          <t xml:space="preserve">QD </t>
        </is>
      </c>
      <c r="S995" t="n">
        <v>2</v>
      </c>
      <c r="T995" t="n">
        <v>2</v>
      </c>
      <c r="U995" t="inlineStr">
        <is>
          <t>2004-06-23</t>
        </is>
      </c>
      <c r="V995" t="inlineStr">
        <is>
          <t>2004-06-23</t>
        </is>
      </c>
      <c r="W995" t="inlineStr">
        <is>
          <t>2004-06-23</t>
        </is>
      </c>
      <c r="X995" t="inlineStr">
        <is>
          <t>2004-06-23</t>
        </is>
      </c>
      <c r="Y995" t="n">
        <v>800</v>
      </c>
      <c r="Z995" t="n">
        <v>609</v>
      </c>
      <c r="AA995" t="n">
        <v>612</v>
      </c>
      <c r="AB995" t="n">
        <v>3</v>
      </c>
      <c r="AC995" t="n">
        <v>3</v>
      </c>
      <c r="AD995" t="n">
        <v>25</v>
      </c>
      <c r="AE995" t="n">
        <v>26</v>
      </c>
      <c r="AF995" t="n">
        <v>12</v>
      </c>
      <c r="AG995" t="n">
        <v>12</v>
      </c>
      <c r="AH995" t="n">
        <v>4</v>
      </c>
      <c r="AI995" t="n">
        <v>4</v>
      </c>
      <c r="AJ995" t="n">
        <v>15</v>
      </c>
      <c r="AK995" t="n">
        <v>16</v>
      </c>
      <c r="AL995" t="n">
        <v>2</v>
      </c>
      <c r="AM995" t="n">
        <v>2</v>
      </c>
      <c r="AN995" t="n">
        <v>0</v>
      </c>
      <c r="AO995" t="n">
        <v>0</v>
      </c>
      <c r="AP995" t="inlineStr">
        <is>
          <t>No</t>
        </is>
      </c>
      <c r="AQ995" t="inlineStr">
        <is>
          <t>No</t>
        </is>
      </c>
      <c r="AS995">
        <f>HYPERLINK("https://creighton-primo.hosted.exlibrisgroup.com/primo-explore/search?tab=default_tab&amp;search_scope=EVERYTHING&amp;vid=01CRU&amp;lang=en_US&amp;offset=0&amp;query=any,contains,991004309699702656","Catalog Record")</f>
        <v/>
      </c>
      <c r="AT995">
        <f>HYPERLINK("http://www.worldcat.org/oclc/52071747","WorldCat Record")</f>
        <v/>
      </c>
      <c r="AU995" t="inlineStr">
        <is>
          <t>1372425316:eng</t>
        </is>
      </c>
      <c r="AV995" t="inlineStr">
        <is>
          <t>52071747</t>
        </is>
      </c>
      <c r="AW995" t="inlineStr">
        <is>
          <t>991004309699702656</t>
        </is>
      </c>
      <c r="AX995" t="inlineStr">
        <is>
          <t>991004309699702656</t>
        </is>
      </c>
      <c r="AY995" t="inlineStr">
        <is>
          <t>2256185520002656</t>
        </is>
      </c>
      <c r="AZ995" t="inlineStr">
        <is>
          <t>BOOK</t>
        </is>
      </c>
      <c r="BB995" t="inlineStr">
        <is>
          <t>9780521535366</t>
        </is>
      </c>
      <c r="BC995" t="inlineStr">
        <is>
          <t>32285004920673</t>
        </is>
      </c>
      <c r="BD995" t="inlineStr">
        <is>
          <t>893888546</t>
        </is>
      </c>
    </row>
    <row r="996">
      <c r="A996" t="inlineStr">
        <is>
          <t>No</t>
        </is>
      </c>
      <c r="B996" t="inlineStr">
        <is>
          <t>QD461 .A84 1991</t>
        </is>
      </c>
      <c r="C996" t="inlineStr">
        <is>
          <t>0                      QD 0461000A  84          1991</t>
        </is>
      </c>
      <c r="D996" t="inlineStr">
        <is>
          <t>Atoms, electrons, and change / P.W. Atkins.</t>
        </is>
      </c>
      <c r="F996" t="inlineStr">
        <is>
          <t>No</t>
        </is>
      </c>
      <c r="G996" t="inlineStr">
        <is>
          <t>1</t>
        </is>
      </c>
      <c r="H996" t="inlineStr">
        <is>
          <t>No</t>
        </is>
      </c>
      <c r="I996" t="inlineStr">
        <is>
          <t>No</t>
        </is>
      </c>
      <c r="J996" t="inlineStr">
        <is>
          <t>0</t>
        </is>
      </c>
      <c r="K996" t="inlineStr">
        <is>
          <t>Atkins, P. W. (Peter William), 1940-</t>
        </is>
      </c>
      <c r="L996" t="inlineStr">
        <is>
          <t>New York : Scientific American Library : Distritubed by W.H. Freeman, c1991.</t>
        </is>
      </c>
      <c r="M996" t="inlineStr">
        <is>
          <t>1991</t>
        </is>
      </c>
      <c r="O996" t="inlineStr">
        <is>
          <t>eng</t>
        </is>
      </c>
      <c r="P996" t="inlineStr">
        <is>
          <t>nyu</t>
        </is>
      </c>
      <c r="R996" t="inlineStr">
        <is>
          <t xml:space="preserve">QD </t>
        </is>
      </c>
      <c r="S996" t="n">
        <v>6</v>
      </c>
      <c r="T996" t="n">
        <v>6</v>
      </c>
      <c r="U996" t="inlineStr">
        <is>
          <t>1996-01-22</t>
        </is>
      </c>
      <c r="V996" t="inlineStr">
        <is>
          <t>1996-01-22</t>
        </is>
      </c>
      <c r="W996" t="inlineStr">
        <is>
          <t>1992-01-21</t>
        </is>
      </c>
      <c r="X996" t="inlineStr">
        <is>
          <t>1992-01-21</t>
        </is>
      </c>
      <c r="Y996" t="n">
        <v>777</v>
      </c>
      <c r="Z996" t="n">
        <v>643</v>
      </c>
      <c r="AA996" t="n">
        <v>671</v>
      </c>
      <c r="AB996" t="n">
        <v>5</v>
      </c>
      <c r="AC996" t="n">
        <v>5</v>
      </c>
      <c r="AD996" t="n">
        <v>24</v>
      </c>
      <c r="AE996" t="n">
        <v>24</v>
      </c>
      <c r="AF996" t="n">
        <v>7</v>
      </c>
      <c r="AG996" t="n">
        <v>7</v>
      </c>
      <c r="AH996" t="n">
        <v>3</v>
      </c>
      <c r="AI996" t="n">
        <v>3</v>
      </c>
      <c r="AJ996" t="n">
        <v>15</v>
      </c>
      <c r="AK996" t="n">
        <v>15</v>
      </c>
      <c r="AL996" t="n">
        <v>4</v>
      </c>
      <c r="AM996" t="n">
        <v>4</v>
      </c>
      <c r="AN996" t="n">
        <v>0</v>
      </c>
      <c r="AO996" t="n">
        <v>0</v>
      </c>
      <c r="AP996" t="inlineStr">
        <is>
          <t>No</t>
        </is>
      </c>
      <c r="AQ996" t="inlineStr">
        <is>
          <t>No</t>
        </is>
      </c>
      <c r="AS996">
        <f>HYPERLINK("https://creighton-primo.hosted.exlibrisgroup.com/primo-explore/search?tab=default_tab&amp;search_scope=EVERYTHING&amp;vid=01CRU&amp;lang=en_US&amp;offset=0&amp;query=any,contains,991001858459702656","Catalog Record")</f>
        <v/>
      </c>
      <c r="AT996">
        <f>HYPERLINK("http://www.worldcat.org/oclc/23355907","WorldCat Record")</f>
        <v/>
      </c>
      <c r="AU996" t="inlineStr">
        <is>
          <t>24224562:eng</t>
        </is>
      </c>
      <c r="AV996" t="inlineStr">
        <is>
          <t>23355907</t>
        </is>
      </c>
      <c r="AW996" t="inlineStr">
        <is>
          <t>991001858459702656</t>
        </is>
      </c>
      <c r="AX996" t="inlineStr">
        <is>
          <t>991001858459702656</t>
        </is>
      </c>
      <c r="AY996" t="inlineStr">
        <is>
          <t>2272650660002656</t>
        </is>
      </c>
      <c r="AZ996" t="inlineStr">
        <is>
          <t>BOOK</t>
        </is>
      </c>
      <c r="BB996" t="inlineStr">
        <is>
          <t>9780716750284</t>
        </is>
      </c>
      <c r="BC996" t="inlineStr">
        <is>
          <t>32285000865336</t>
        </is>
      </c>
      <c r="BD996" t="inlineStr">
        <is>
          <t>893250555</t>
        </is>
      </c>
    </row>
    <row r="997">
      <c r="A997" t="inlineStr">
        <is>
          <t>No</t>
        </is>
      </c>
      <c r="B997" t="inlineStr">
        <is>
          <t>QD461 .A85 1987</t>
        </is>
      </c>
      <c r="C997" t="inlineStr">
        <is>
          <t>0                      QD 0461000A  85          1987</t>
        </is>
      </c>
      <c r="D997" t="inlineStr">
        <is>
          <t>Molecules / P.W. Atkins.</t>
        </is>
      </c>
      <c r="F997" t="inlineStr">
        <is>
          <t>No</t>
        </is>
      </c>
      <c r="G997" t="inlineStr">
        <is>
          <t>1</t>
        </is>
      </c>
      <c r="H997" t="inlineStr">
        <is>
          <t>No</t>
        </is>
      </c>
      <c r="I997" t="inlineStr">
        <is>
          <t>No</t>
        </is>
      </c>
      <c r="J997" t="inlineStr">
        <is>
          <t>0</t>
        </is>
      </c>
      <c r="K997" t="inlineStr">
        <is>
          <t>Atkins, P. W. (Peter William), 1940-</t>
        </is>
      </c>
      <c r="L997" t="inlineStr">
        <is>
          <t>New York : Scientific American Library, 1987.</t>
        </is>
      </c>
      <c r="M997" t="inlineStr">
        <is>
          <t>1987</t>
        </is>
      </c>
      <c r="O997" t="inlineStr">
        <is>
          <t>eng</t>
        </is>
      </c>
      <c r="P997" t="inlineStr">
        <is>
          <t>nyu</t>
        </is>
      </c>
      <c r="Q997" t="inlineStr">
        <is>
          <t>Scientific American Library series ; no. 21</t>
        </is>
      </c>
      <c r="R997" t="inlineStr">
        <is>
          <t xml:space="preserve">QD </t>
        </is>
      </c>
      <c r="S997" t="n">
        <v>7</v>
      </c>
      <c r="T997" t="n">
        <v>7</v>
      </c>
      <c r="U997" t="inlineStr">
        <is>
          <t>1995-10-19</t>
        </is>
      </c>
      <c r="V997" t="inlineStr">
        <is>
          <t>1995-10-19</t>
        </is>
      </c>
      <c r="W997" t="inlineStr">
        <is>
          <t>1990-06-04</t>
        </is>
      </c>
      <c r="X997" t="inlineStr">
        <is>
          <t>1990-06-04</t>
        </is>
      </c>
      <c r="Y997" t="n">
        <v>1498</v>
      </c>
      <c r="Z997" t="n">
        <v>1287</v>
      </c>
      <c r="AA997" t="n">
        <v>1340</v>
      </c>
      <c r="AB997" t="n">
        <v>8</v>
      </c>
      <c r="AC997" t="n">
        <v>9</v>
      </c>
      <c r="AD997" t="n">
        <v>38</v>
      </c>
      <c r="AE997" t="n">
        <v>39</v>
      </c>
      <c r="AF997" t="n">
        <v>16</v>
      </c>
      <c r="AG997" t="n">
        <v>16</v>
      </c>
      <c r="AH997" t="n">
        <v>7</v>
      </c>
      <c r="AI997" t="n">
        <v>7</v>
      </c>
      <c r="AJ997" t="n">
        <v>17</v>
      </c>
      <c r="AK997" t="n">
        <v>17</v>
      </c>
      <c r="AL997" t="n">
        <v>6</v>
      </c>
      <c r="AM997" t="n">
        <v>7</v>
      </c>
      <c r="AN997" t="n">
        <v>0</v>
      </c>
      <c r="AO997" t="n">
        <v>0</v>
      </c>
      <c r="AP997" t="inlineStr">
        <is>
          <t>No</t>
        </is>
      </c>
      <c r="AQ997" t="inlineStr">
        <is>
          <t>No</t>
        </is>
      </c>
      <c r="AS997">
        <f>HYPERLINK("https://creighton-primo.hosted.exlibrisgroup.com/primo-explore/search?tab=default_tab&amp;search_scope=EVERYTHING&amp;vid=01CRU&amp;lang=en_US&amp;offset=0&amp;query=any,contains,991001110299702656","Catalog Record")</f>
        <v/>
      </c>
      <c r="AT997">
        <f>HYPERLINK("http://www.worldcat.org/oclc/16466229","WorldCat Record")</f>
        <v/>
      </c>
      <c r="AU997" t="inlineStr">
        <is>
          <t>8926493020:eng</t>
        </is>
      </c>
      <c r="AV997" t="inlineStr">
        <is>
          <t>16466229</t>
        </is>
      </c>
      <c r="AW997" t="inlineStr">
        <is>
          <t>991001110299702656</t>
        </is>
      </c>
      <c r="AX997" t="inlineStr">
        <is>
          <t>991001110299702656</t>
        </is>
      </c>
      <c r="AY997" t="inlineStr">
        <is>
          <t>2269416370002656</t>
        </is>
      </c>
      <c r="AZ997" t="inlineStr">
        <is>
          <t>BOOK</t>
        </is>
      </c>
      <c r="BB997" t="inlineStr">
        <is>
          <t>9780716750192</t>
        </is>
      </c>
      <c r="BC997" t="inlineStr">
        <is>
          <t>32285000156702</t>
        </is>
      </c>
      <c r="BD997" t="inlineStr">
        <is>
          <t>893702740</t>
        </is>
      </c>
    </row>
    <row r="998">
      <c r="A998" t="inlineStr">
        <is>
          <t>No</t>
        </is>
      </c>
      <c r="B998" t="inlineStr">
        <is>
          <t>QD461 .B228 2001</t>
        </is>
      </c>
      <c r="C998" t="inlineStr">
        <is>
          <t>0                      QD 0461000B  228         2001</t>
        </is>
      </c>
      <c r="D998" t="inlineStr">
        <is>
          <t>Stories of the invisible : a guided tour of molecules / Philip Ball.</t>
        </is>
      </c>
      <c r="F998" t="inlineStr">
        <is>
          <t>No</t>
        </is>
      </c>
      <c r="G998" t="inlineStr">
        <is>
          <t>1</t>
        </is>
      </c>
      <c r="H998" t="inlineStr">
        <is>
          <t>No</t>
        </is>
      </c>
      <c r="I998" t="inlineStr">
        <is>
          <t>No</t>
        </is>
      </c>
      <c r="J998" t="inlineStr">
        <is>
          <t>0</t>
        </is>
      </c>
      <c r="K998" t="inlineStr">
        <is>
          <t>Ball, Philip, 1962-</t>
        </is>
      </c>
      <c r="L998" t="inlineStr">
        <is>
          <t>Oxford ; New York : Oxford University Press, 2001.</t>
        </is>
      </c>
      <c r="M998" t="inlineStr">
        <is>
          <t>2001</t>
        </is>
      </c>
      <c r="O998" t="inlineStr">
        <is>
          <t>eng</t>
        </is>
      </c>
      <c r="P998" t="inlineStr">
        <is>
          <t>enk</t>
        </is>
      </c>
      <c r="R998" t="inlineStr">
        <is>
          <t xml:space="preserve">QD </t>
        </is>
      </c>
      <c r="S998" t="n">
        <v>1</v>
      </c>
      <c r="T998" t="n">
        <v>1</v>
      </c>
      <c r="U998" t="inlineStr">
        <is>
          <t>2001-11-07</t>
        </is>
      </c>
      <c r="V998" t="inlineStr">
        <is>
          <t>2001-11-07</t>
        </is>
      </c>
      <c r="W998" t="inlineStr">
        <is>
          <t>2001-11-06</t>
        </is>
      </c>
      <c r="X998" t="inlineStr">
        <is>
          <t>2001-11-06</t>
        </is>
      </c>
      <c r="Y998" t="n">
        <v>1418</v>
      </c>
      <c r="Z998" t="n">
        <v>1292</v>
      </c>
      <c r="AA998" t="n">
        <v>1339</v>
      </c>
      <c r="AB998" t="n">
        <v>13</v>
      </c>
      <c r="AC998" t="n">
        <v>13</v>
      </c>
      <c r="AD998" t="n">
        <v>44</v>
      </c>
      <c r="AE998" t="n">
        <v>46</v>
      </c>
      <c r="AF998" t="n">
        <v>20</v>
      </c>
      <c r="AG998" t="n">
        <v>22</v>
      </c>
      <c r="AH998" t="n">
        <v>7</v>
      </c>
      <c r="AI998" t="n">
        <v>7</v>
      </c>
      <c r="AJ998" t="n">
        <v>18</v>
      </c>
      <c r="AK998" t="n">
        <v>18</v>
      </c>
      <c r="AL998" t="n">
        <v>10</v>
      </c>
      <c r="AM998" t="n">
        <v>10</v>
      </c>
      <c r="AN998" t="n">
        <v>0</v>
      </c>
      <c r="AO998" t="n">
        <v>0</v>
      </c>
      <c r="AP998" t="inlineStr">
        <is>
          <t>No</t>
        </is>
      </c>
      <c r="AQ998" t="inlineStr">
        <is>
          <t>No</t>
        </is>
      </c>
      <c r="AS998">
        <f>HYPERLINK("https://creighton-primo.hosted.exlibrisgroup.com/primo-explore/search?tab=default_tab&amp;search_scope=EVERYTHING&amp;vid=01CRU&amp;lang=en_US&amp;offset=0&amp;query=any,contains,991003611439702656","Catalog Record")</f>
        <v/>
      </c>
      <c r="AT998">
        <f>HYPERLINK("http://www.worldcat.org/oclc/47651223","WorldCat Record")</f>
        <v/>
      </c>
      <c r="AU998" t="inlineStr">
        <is>
          <t>837036097:eng</t>
        </is>
      </c>
      <c r="AV998" t="inlineStr">
        <is>
          <t>47651223</t>
        </is>
      </c>
      <c r="AW998" t="inlineStr">
        <is>
          <t>991003611439702656</t>
        </is>
      </c>
      <c r="AX998" t="inlineStr">
        <is>
          <t>991003611439702656</t>
        </is>
      </c>
      <c r="AY998" t="inlineStr">
        <is>
          <t>2260444010002656</t>
        </is>
      </c>
      <c r="AZ998" t="inlineStr">
        <is>
          <t>BOOK</t>
        </is>
      </c>
      <c r="BB998" t="inlineStr">
        <is>
          <t>9780192802149</t>
        </is>
      </c>
      <c r="BC998" t="inlineStr">
        <is>
          <t>32285004418371</t>
        </is>
      </c>
      <c r="BD998" t="inlineStr">
        <is>
          <t>893258625</t>
        </is>
      </c>
    </row>
    <row r="999">
      <c r="A999" t="inlineStr">
        <is>
          <t>No</t>
        </is>
      </c>
      <c r="B999" t="inlineStr">
        <is>
          <t>QD461 .B24</t>
        </is>
      </c>
      <c r="C999" t="inlineStr">
        <is>
          <t>0                      QD 0461000B  24</t>
        </is>
      </c>
      <c r="D999" t="inlineStr">
        <is>
          <t>Molecular orbital theory : an introductory lecture note and reprint volume / [by] C.J. Ballhausen and Harry B. Gray.</t>
        </is>
      </c>
      <c r="F999" t="inlineStr">
        <is>
          <t>No</t>
        </is>
      </c>
      <c r="G999" t="inlineStr">
        <is>
          <t>1</t>
        </is>
      </c>
      <c r="H999" t="inlineStr">
        <is>
          <t>No</t>
        </is>
      </c>
      <c r="I999" t="inlineStr">
        <is>
          <t>No</t>
        </is>
      </c>
      <c r="J999" t="inlineStr">
        <is>
          <t>0</t>
        </is>
      </c>
      <c r="K999" t="inlineStr">
        <is>
          <t>Ballhausen, Carl Johan, 1926-2010.</t>
        </is>
      </c>
      <c r="L999" t="inlineStr">
        <is>
          <t>New York : W.A. Benjamin, 1964.</t>
        </is>
      </c>
      <c r="M999" t="inlineStr">
        <is>
          <t>1964</t>
        </is>
      </c>
      <c r="O999" t="inlineStr">
        <is>
          <t>eng</t>
        </is>
      </c>
      <c r="P999" t="inlineStr">
        <is>
          <t>nyu</t>
        </is>
      </c>
      <c r="Q999" t="inlineStr">
        <is>
          <t>Frontiers in chemistry</t>
        </is>
      </c>
      <c r="R999" t="inlineStr">
        <is>
          <t xml:space="preserve">QD </t>
        </is>
      </c>
      <c r="S999" t="n">
        <v>4</v>
      </c>
      <c r="T999" t="n">
        <v>4</v>
      </c>
      <c r="U999" t="inlineStr">
        <is>
          <t>1993-08-31</t>
        </is>
      </c>
      <c r="V999" t="inlineStr">
        <is>
          <t>1993-08-31</t>
        </is>
      </c>
      <c r="W999" t="inlineStr">
        <is>
          <t>1992-08-31</t>
        </is>
      </c>
      <c r="X999" t="inlineStr">
        <is>
          <t>1992-08-31</t>
        </is>
      </c>
      <c r="Y999" t="n">
        <v>529</v>
      </c>
      <c r="Z999" t="n">
        <v>422</v>
      </c>
      <c r="AA999" t="n">
        <v>494</v>
      </c>
      <c r="AB999" t="n">
        <v>5</v>
      </c>
      <c r="AC999" t="n">
        <v>5</v>
      </c>
      <c r="AD999" t="n">
        <v>19</v>
      </c>
      <c r="AE999" t="n">
        <v>22</v>
      </c>
      <c r="AF999" t="n">
        <v>6</v>
      </c>
      <c r="AG999" t="n">
        <v>6</v>
      </c>
      <c r="AH999" t="n">
        <v>4</v>
      </c>
      <c r="AI999" t="n">
        <v>5</v>
      </c>
      <c r="AJ999" t="n">
        <v>11</v>
      </c>
      <c r="AK999" t="n">
        <v>13</v>
      </c>
      <c r="AL999" t="n">
        <v>4</v>
      </c>
      <c r="AM999" t="n">
        <v>4</v>
      </c>
      <c r="AN999" t="n">
        <v>0</v>
      </c>
      <c r="AO999" t="n">
        <v>0</v>
      </c>
      <c r="AP999" t="inlineStr">
        <is>
          <t>No</t>
        </is>
      </c>
      <c r="AQ999" t="inlineStr">
        <is>
          <t>Yes</t>
        </is>
      </c>
      <c r="AR999">
        <f>HYPERLINK("http://catalog.hathitrust.org/Record/001112722","HathiTrust Record")</f>
        <v/>
      </c>
      <c r="AS999">
        <f>HYPERLINK("https://creighton-primo.hosted.exlibrisgroup.com/primo-explore/search?tab=default_tab&amp;search_scope=EVERYTHING&amp;vid=01CRU&amp;lang=en_US&amp;offset=0&amp;query=any,contains,991002965299702656","Catalog Record")</f>
        <v/>
      </c>
      <c r="AT999">
        <f>HYPERLINK("http://www.worldcat.org/oclc/545522","WorldCat Record")</f>
        <v/>
      </c>
      <c r="AU999" t="inlineStr">
        <is>
          <t>1577308:eng</t>
        </is>
      </c>
      <c r="AV999" t="inlineStr">
        <is>
          <t>545522</t>
        </is>
      </c>
      <c r="AW999" t="inlineStr">
        <is>
          <t>991002965299702656</t>
        </is>
      </c>
      <c r="AX999" t="inlineStr">
        <is>
          <t>991002965299702656</t>
        </is>
      </c>
      <c r="AY999" t="inlineStr">
        <is>
          <t>2264539620002656</t>
        </is>
      </c>
      <c r="AZ999" t="inlineStr">
        <is>
          <t>BOOK</t>
        </is>
      </c>
      <c r="BC999" t="inlineStr">
        <is>
          <t>32285001275246</t>
        </is>
      </c>
      <c r="BD999" t="inlineStr">
        <is>
          <t>893698513</t>
        </is>
      </c>
    </row>
    <row r="1000">
      <c r="A1000" t="inlineStr">
        <is>
          <t>No</t>
        </is>
      </c>
      <c r="B1000" t="inlineStr">
        <is>
          <t>QD461 .B26</t>
        </is>
      </c>
      <c r="C1000" t="inlineStr">
        <is>
          <t>0                      QD 0461000B  26</t>
        </is>
      </c>
      <c r="D1000" t="inlineStr">
        <is>
          <t>Introduction to atomic and molecular structure.</t>
        </is>
      </c>
      <c r="F1000" t="inlineStr">
        <is>
          <t>No</t>
        </is>
      </c>
      <c r="G1000" t="inlineStr">
        <is>
          <t>1</t>
        </is>
      </c>
      <c r="H1000" t="inlineStr">
        <is>
          <t>No</t>
        </is>
      </c>
      <c r="I1000" t="inlineStr">
        <is>
          <t>No</t>
        </is>
      </c>
      <c r="J1000" t="inlineStr">
        <is>
          <t>0</t>
        </is>
      </c>
      <c r="K1000" t="inlineStr">
        <is>
          <t>Barrett, Jack.</t>
        </is>
      </c>
      <c r="L1000" t="inlineStr">
        <is>
          <t>London, New York, John Wiley &amp; Sons [1970]</t>
        </is>
      </c>
      <c r="M1000" t="inlineStr">
        <is>
          <t>1970</t>
        </is>
      </c>
      <c r="O1000" t="inlineStr">
        <is>
          <t>eng</t>
        </is>
      </c>
      <c r="P1000" t="inlineStr">
        <is>
          <t>enk</t>
        </is>
      </c>
      <c r="R1000" t="inlineStr">
        <is>
          <t xml:space="preserve">QD </t>
        </is>
      </c>
      <c r="S1000" t="n">
        <v>1</v>
      </c>
      <c r="T1000" t="n">
        <v>1</v>
      </c>
      <c r="U1000" t="inlineStr">
        <is>
          <t>2004-04-01</t>
        </is>
      </c>
      <c r="V1000" t="inlineStr">
        <is>
          <t>2004-04-01</t>
        </is>
      </c>
      <c r="W1000" t="inlineStr">
        <is>
          <t>1997-06-12</t>
        </is>
      </c>
      <c r="X1000" t="inlineStr">
        <is>
          <t>1997-06-12</t>
        </is>
      </c>
      <c r="Y1000" t="n">
        <v>395</v>
      </c>
      <c r="Z1000" t="n">
        <v>265</v>
      </c>
      <c r="AA1000" t="n">
        <v>272</v>
      </c>
      <c r="AB1000" t="n">
        <v>3</v>
      </c>
      <c r="AC1000" t="n">
        <v>3</v>
      </c>
      <c r="AD1000" t="n">
        <v>10</v>
      </c>
      <c r="AE1000" t="n">
        <v>10</v>
      </c>
      <c r="AF1000" t="n">
        <v>3</v>
      </c>
      <c r="AG1000" t="n">
        <v>3</v>
      </c>
      <c r="AH1000" t="n">
        <v>1</v>
      </c>
      <c r="AI1000" t="n">
        <v>1</v>
      </c>
      <c r="AJ1000" t="n">
        <v>5</v>
      </c>
      <c r="AK1000" t="n">
        <v>5</v>
      </c>
      <c r="AL1000" t="n">
        <v>2</v>
      </c>
      <c r="AM1000" t="n">
        <v>2</v>
      </c>
      <c r="AN1000" t="n">
        <v>0</v>
      </c>
      <c r="AO1000" t="n">
        <v>0</v>
      </c>
      <c r="AP1000" t="inlineStr">
        <is>
          <t>No</t>
        </is>
      </c>
      <c r="AQ1000" t="inlineStr">
        <is>
          <t>Yes</t>
        </is>
      </c>
      <c r="AR1000">
        <f>HYPERLINK("http://catalog.hathitrust.org/Record/001034400","HathiTrust Record")</f>
        <v/>
      </c>
      <c r="AS1000">
        <f>HYPERLINK("https://creighton-primo.hosted.exlibrisgroup.com/primo-explore/search?tab=default_tab&amp;search_scope=EVERYTHING&amp;vid=01CRU&amp;lang=en_US&amp;offset=0&amp;query=any,contains,991000463529702656","Catalog Record")</f>
        <v/>
      </c>
      <c r="AT1000">
        <f>HYPERLINK("http://www.worldcat.org/oclc/78744","WorldCat Record")</f>
        <v/>
      </c>
      <c r="AU1000" t="inlineStr">
        <is>
          <t>1256064:eng</t>
        </is>
      </c>
      <c r="AV1000" t="inlineStr">
        <is>
          <t>78744</t>
        </is>
      </c>
      <c r="AW1000" t="inlineStr">
        <is>
          <t>991000463529702656</t>
        </is>
      </c>
      <c r="AX1000" t="inlineStr">
        <is>
          <t>991000463529702656</t>
        </is>
      </c>
      <c r="AY1000" t="inlineStr">
        <is>
          <t>2254988450002656</t>
        </is>
      </c>
      <c r="AZ1000" t="inlineStr">
        <is>
          <t>BOOK</t>
        </is>
      </c>
      <c r="BB1000" t="inlineStr">
        <is>
          <t>9780471054160</t>
        </is>
      </c>
      <c r="BC1000" t="inlineStr">
        <is>
          <t>32285002805975</t>
        </is>
      </c>
      <c r="BD1000" t="inlineStr">
        <is>
          <t>893871679</t>
        </is>
      </c>
    </row>
    <row r="1001">
      <c r="A1001" t="inlineStr">
        <is>
          <t>No</t>
        </is>
      </c>
      <c r="B1001" t="inlineStr">
        <is>
          <t>QD461 .B265 2002</t>
        </is>
      </c>
      <c r="C1001" t="inlineStr">
        <is>
          <t>0                      QD 0461000B  265         2002</t>
        </is>
      </c>
      <c r="D1001" t="inlineStr">
        <is>
          <t>Structure and bonding / Jack Barrett.</t>
        </is>
      </c>
      <c r="F1001" t="inlineStr">
        <is>
          <t>No</t>
        </is>
      </c>
      <c r="G1001" t="inlineStr">
        <is>
          <t>1</t>
        </is>
      </c>
      <c r="H1001" t="inlineStr">
        <is>
          <t>No</t>
        </is>
      </c>
      <c r="I1001" t="inlineStr">
        <is>
          <t>No</t>
        </is>
      </c>
      <c r="J1001" t="inlineStr">
        <is>
          <t>0</t>
        </is>
      </c>
      <c r="K1001" t="inlineStr">
        <is>
          <t>Barrett, Jack.</t>
        </is>
      </c>
      <c r="L1001" t="inlineStr">
        <is>
          <t>New York, NY : Wiley-Interscience ; [Cambridge, England] : Royal Society of Chemistry, c2002.</t>
        </is>
      </c>
      <c r="M1001" t="inlineStr">
        <is>
          <t>2002</t>
        </is>
      </c>
      <c r="O1001" t="inlineStr">
        <is>
          <t>eng</t>
        </is>
      </c>
      <c r="P1001" t="inlineStr">
        <is>
          <t>nyu</t>
        </is>
      </c>
      <c r="Q1001" t="inlineStr">
        <is>
          <t>Basic concepts in chemistry</t>
        </is>
      </c>
      <c r="R1001" t="inlineStr">
        <is>
          <t xml:space="preserve">QD </t>
        </is>
      </c>
      <c r="S1001" t="n">
        <v>1</v>
      </c>
      <c r="T1001" t="n">
        <v>1</v>
      </c>
      <c r="U1001" t="inlineStr">
        <is>
          <t>2003-11-17</t>
        </is>
      </c>
      <c r="V1001" t="inlineStr">
        <is>
          <t>2003-11-17</t>
        </is>
      </c>
      <c r="W1001" t="inlineStr">
        <is>
          <t>2003-11-17</t>
        </is>
      </c>
      <c r="X1001" t="inlineStr">
        <is>
          <t>2003-11-17</t>
        </is>
      </c>
      <c r="Y1001" t="n">
        <v>209</v>
      </c>
      <c r="Z1001" t="n">
        <v>162</v>
      </c>
      <c r="AA1001" t="n">
        <v>249</v>
      </c>
      <c r="AB1001" t="n">
        <v>1</v>
      </c>
      <c r="AC1001" t="n">
        <v>2</v>
      </c>
      <c r="AD1001" t="n">
        <v>7</v>
      </c>
      <c r="AE1001" t="n">
        <v>12</v>
      </c>
      <c r="AF1001" t="n">
        <v>3</v>
      </c>
      <c r="AG1001" t="n">
        <v>4</v>
      </c>
      <c r="AH1001" t="n">
        <v>1</v>
      </c>
      <c r="AI1001" t="n">
        <v>3</v>
      </c>
      <c r="AJ1001" t="n">
        <v>4</v>
      </c>
      <c r="AK1001" t="n">
        <v>6</v>
      </c>
      <c r="AL1001" t="n">
        <v>0</v>
      </c>
      <c r="AM1001" t="n">
        <v>1</v>
      </c>
      <c r="AN1001" t="n">
        <v>0</v>
      </c>
      <c r="AO1001" t="n">
        <v>0</v>
      </c>
      <c r="AP1001" t="inlineStr">
        <is>
          <t>No</t>
        </is>
      </c>
      <c r="AQ1001" t="inlineStr">
        <is>
          <t>No</t>
        </is>
      </c>
      <c r="AS1001">
        <f>HYPERLINK("https://creighton-primo.hosted.exlibrisgroup.com/primo-explore/search?tab=default_tab&amp;search_scope=EVERYTHING&amp;vid=01CRU&amp;lang=en_US&amp;offset=0&amp;query=any,contains,991004183099702656","Catalog Record")</f>
        <v/>
      </c>
      <c r="AT1001">
        <f>HYPERLINK("http://www.worldcat.org/oclc/50098669","WorldCat Record")</f>
        <v/>
      </c>
      <c r="AU1001" t="inlineStr">
        <is>
          <t>6686727:eng</t>
        </is>
      </c>
      <c r="AV1001" t="inlineStr">
        <is>
          <t>50098669</t>
        </is>
      </c>
      <c r="AW1001" t="inlineStr">
        <is>
          <t>991004183099702656</t>
        </is>
      </c>
      <c r="AX1001" t="inlineStr">
        <is>
          <t>991004183099702656</t>
        </is>
      </c>
      <c r="AY1001" t="inlineStr">
        <is>
          <t>2260297720002656</t>
        </is>
      </c>
      <c r="AZ1001" t="inlineStr">
        <is>
          <t>BOOK</t>
        </is>
      </c>
      <c r="BB1001" t="inlineStr">
        <is>
          <t>9780471224792</t>
        </is>
      </c>
      <c r="BC1001" t="inlineStr">
        <is>
          <t>32285004798863</t>
        </is>
      </c>
      <c r="BD1001" t="inlineStr">
        <is>
          <t>893429757</t>
        </is>
      </c>
    </row>
    <row r="1002">
      <c r="A1002" t="inlineStr">
        <is>
          <t>No</t>
        </is>
      </c>
      <c r="B1002" t="inlineStr">
        <is>
          <t>QD461 .B573 1996</t>
        </is>
      </c>
      <c r="C1002" t="inlineStr">
        <is>
          <t>0                      QD 0461000B  573         1996</t>
        </is>
      </c>
      <c r="D1002" t="inlineStr">
        <is>
          <t>Introduction to molecular dynamics and chemical kinetics / Gert D. Billing, Kurt V. Mikkelsen.</t>
        </is>
      </c>
      <c r="F1002" t="inlineStr">
        <is>
          <t>No</t>
        </is>
      </c>
      <c r="G1002" t="inlineStr">
        <is>
          <t>1</t>
        </is>
      </c>
      <c r="H1002" t="inlineStr">
        <is>
          <t>No</t>
        </is>
      </c>
      <c r="I1002" t="inlineStr">
        <is>
          <t>No</t>
        </is>
      </c>
      <c r="J1002" t="inlineStr">
        <is>
          <t>0</t>
        </is>
      </c>
      <c r="K1002" t="inlineStr">
        <is>
          <t>Billing, Gert D.</t>
        </is>
      </c>
      <c r="L1002" t="inlineStr">
        <is>
          <t>New York : J. Wiley, c1996.</t>
        </is>
      </c>
      <c r="M1002" t="inlineStr">
        <is>
          <t>1996</t>
        </is>
      </c>
      <c r="O1002" t="inlineStr">
        <is>
          <t>eng</t>
        </is>
      </c>
      <c r="P1002" t="inlineStr">
        <is>
          <t>nyu</t>
        </is>
      </c>
      <c r="R1002" t="inlineStr">
        <is>
          <t xml:space="preserve">QD </t>
        </is>
      </c>
      <c r="S1002" t="n">
        <v>5</v>
      </c>
      <c r="T1002" t="n">
        <v>5</v>
      </c>
      <c r="U1002" t="inlineStr">
        <is>
          <t>2002-05-29</t>
        </is>
      </c>
      <c r="V1002" t="inlineStr">
        <is>
          <t>2002-05-29</t>
        </is>
      </c>
      <c r="W1002" t="inlineStr">
        <is>
          <t>1996-03-15</t>
        </is>
      </c>
      <c r="X1002" t="inlineStr">
        <is>
          <t>1996-03-15</t>
        </is>
      </c>
      <c r="Y1002" t="n">
        <v>367</v>
      </c>
      <c r="Z1002" t="n">
        <v>261</v>
      </c>
      <c r="AA1002" t="n">
        <v>265</v>
      </c>
      <c r="AB1002" t="n">
        <v>3</v>
      </c>
      <c r="AC1002" t="n">
        <v>3</v>
      </c>
      <c r="AD1002" t="n">
        <v>13</v>
      </c>
      <c r="AE1002" t="n">
        <v>13</v>
      </c>
      <c r="AF1002" t="n">
        <v>2</v>
      </c>
      <c r="AG1002" t="n">
        <v>2</v>
      </c>
      <c r="AH1002" t="n">
        <v>2</v>
      </c>
      <c r="AI1002" t="n">
        <v>2</v>
      </c>
      <c r="AJ1002" t="n">
        <v>11</v>
      </c>
      <c r="AK1002" t="n">
        <v>11</v>
      </c>
      <c r="AL1002" t="n">
        <v>2</v>
      </c>
      <c r="AM1002" t="n">
        <v>2</v>
      </c>
      <c r="AN1002" t="n">
        <v>0</v>
      </c>
      <c r="AO1002" t="n">
        <v>0</v>
      </c>
      <c r="AP1002" t="inlineStr">
        <is>
          <t>No</t>
        </is>
      </c>
      <c r="AQ1002" t="inlineStr">
        <is>
          <t>No</t>
        </is>
      </c>
      <c r="AS1002">
        <f>HYPERLINK("https://creighton-primo.hosted.exlibrisgroup.com/primo-explore/search?tab=default_tab&amp;search_scope=EVERYTHING&amp;vid=01CRU&amp;lang=en_US&amp;offset=0&amp;query=any,contains,991002515319702656","Catalog Record")</f>
        <v/>
      </c>
      <c r="AT1002">
        <f>HYPERLINK("http://www.worldcat.org/oclc/32702822","WorldCat Record")</f>
        <v/>
      </c>
      <c r="AU1002" t="inlineStr">
        <is>
          <t>3856634842:eng</t>
        </is>
      </c>
      <c r="AV1002" t="inlineStr">
        <is>
          <t>32702822</t>
        </is>
      </c>
      <c r="AW1002" t="inlineStr">
        <is>
          <t>991002515319702656</t>
        </is>
      </c>
      <c r="AX1002" t="inlineStr">
        <is>
          <t>991002515319702656</t>
        </is>
      </c>
      <c r="AY1002" t="inlineStr">
        <is>
          <t>2272211200002656</t>
        </is>
      </c>
      <c r="AZ1002" t="inlineStr">
        <is>
          <t>BOOK</t>
        </is>
      </c>
      <c r="BB1002" t="inlineStr">
        <is>
          <t>9780471127390</t>
        </is>
      </c>
      <c r="BC1002" t="inlineStr">
        <is>
          <t>32285002143203</t>
        </is>
      </c>
      <c r="BD1002" t="inlineStr">
        <is>
          <t>893316918</t>
        </is>
      </c>
    </row>
    <row r="1003">
      <c r="A1003" t="inlineStr">
        <is>
          <t>No</t>
        </is>
      </c>
      <c r="B1003" t="inlineStr">
        <is>
          <t>QD461 .B957 2005</t>
        </is>
      </c>
      <c r="C1003" t="inlineStr">
        <is>
          <t>0                      QD 0461000B  957         2005</t>
        </is>
      </c>
      <c r="D1003" t="inlineStr">
        <is>
          <t>Fundamentals of molecular symmetry / Philip R. Bunker, Per Jensen.</t>
        </is>
      </c>
      <c r="F1003" t="inlineStr">
        <is>
          <t>No</t>
        </is>
      </c>
      <c r="G1003" t="inlineStr">
        <is>
          <t>1</t>
        </is>
      </c>
      <c r="H1003" t="inlineStr">
        <is>
          <t>No</t>
        </is>
      </c>
      <c r="I1003" t="inlineStr">
        <is>
          <t>No</t>
        </is>
      </c>
      <c r="J1003" t="inlineStr">
        <is>
          <t>0</t>
        </is>
      </c>
      <c r="K1003" t="inlineStr">
        <is>
          <t>Bunker, Philip R.</t>
        </is>
      </c>
      <c r="L1003" t="inlineStr">
        <is>
          <t>Bristol ; Philadelphia : Institute of Physics, c2005.</t>
        </is>
      </c>
      <c r="M1003" t="inlineStr">
        <is>
          <t>2005</t>
        </is>
      </c>
      <c r="O1003" t="inlineStr">
        <is>
          <t>eng</t>
        </is>
      </c>
      <c r="P1003" t="inlineStr">
        <is>
          <t>enk</t>
        </is>
      </c>
      <c r="Q1003" t="inlineStr">
        <is>
          <t>Series in chemical physics</t>
        </is>
      </c>
      <c r="R1003" t="inlineStr">
        <is>
          <t xml:space="preserve">QD </t>
        </is>
      </c>
      <c r="S1003" t="n">
        <v>2</v>
      </c>
      <c r="T1003" t="n">
        <v>2</v>
      </c>
      <c r="U1003" t="inlineStr">
        <is>
          <t>2009-09-08</t>
        </is>
      </c>
      <c r="V1003" t="inlineStr">
        <is>
          <t>2009-09-08</t>
        </is>
      </c>
      <c r="W1003" t="inlineStr">
        <is>
          <t>2005-10-04</t>
        </is>
      </c>
      <c r="X1003" t="inlineStr">
        <is>
          <t>2005-10-04</t>
        </is>
      </c>
      <c r="Y1003" t="n">
        <v>460</v>
      </c>
      <c r="Z1003" t="n">
        <v>360</v>
      </c>
      <c r="AA1003" t="n">
        <v>390</v>
      </c>
      <c r="AB1003" t="n">
        <v>4</v>
      </c>
      <c r="AC1003" t="n">
        <v>4</v>
      </c>
      <c r="AD1003" t="n">
        <v>19</v>
      </c>
      <c r="AE1003" t="n">
        <v>19</v>
      </c>
      <c r="AF1003" t="n">
        <v>7</v>
      </c>
      <c r="AG1003" t="n">
        <v>7</v>
      </c>
      <c r="AH1003" t="n">
        <v>4</v>
      </c>
      <c r="AI1003" t="n">
        <v>4</v>
      </c>
      <c r="AJ1003" t="n">
        <v>9</v>
      </c>
      <c r="AK1003" t="n">
        <v>9</v>
      </c>
      <c r="AL1003" t="n">
        <v>3</v>
      </c>
      <c r="AM1003" t="n">
        <v>3</v>
      </c>
      <c r="AN1003" t="n">
        <v>0</v>
      </c>
      <c r="AO1003" t="n">
        <v>0</v>
      </c>
      <c r="AP1003" t="inlineStr">
        <is>
          <t>No</t>
        </is>
      </c>
      <c r="AQ1003" t="inlineStr">
        <is>
          <t>No</t>
        </is>
      </c>
      <c r="AS1003">
        <f>HYPERLINK("https://creighton-primo.hosted.exlibrisgroup.com/primo-explore/search?tab=default_tab&amp;search_scope=EVERYTHING&amp;vid=01CRU&amp;lang=en_US&amp;offset=0&amp;query=any,contains,991004598929702656","Catalog Record")</f>
        <v/>
      </c>
      <c r="AT1003">
        <f>HYPERLINK("http://www.worldcat.org/oclc/56807393","WorldCat Record")</f>
        <v/>
      </c>
      <c r="AU1003" t="inlineStr">
        <is>
          <t>2635:eng</t>
        </is>
      </c>
      <c r="AV1003" t="inlineStr">
        <is>
          <t>56807393</t>
        </is>
      </c>
      <c r="AW1003" t="inlineStr">
        <is>
          <t>991004598929702656</t>
        </is>
      </c>
      <c r="AX1003" t="inlineStr">
        <is>
          <t>991004598929702656</t>
        </is>
      </c>
      <c r="AY1003" t="inlineStr">
        <is>
          <t>2257614320002656</t>
        </is>
      </c>
      <c r="AZ1003" t="inlineStr">
        <is>
          <t>BOOK</t>
        </is>
      </c>
      <c r="BB1003" t="inlineStr">
        <is>
          <t>9780750309417</t>
        </is>
      </c>
      <c r="BC1003" t="inlineStr">
        <is>
          <t>32285005087118</t>
        </is>
      </c>
      <c r="BD1003" t="inlineStr">
        <is>
          <t>893513443</t>
        </is>
      </c>
    </row>
    <row r="1004">
      <c r="A1004" t="inlineStr">
        <is>
          <t>No</t>
        </is>
      </c>
      <c r="B1004" t="inlineStr">
        <is>
          <t>QD461 .B974 1982</t>
        </is>
      </c>
      <c r="C1004" t="inlineStr">
        <is>
          <t>0                      QD 0461000B  974         1982</t>
        </is>
      </c>
      <c r="D1004" t="inlineStr">
        <is>
          <t>Molecular mechanics / Ulrich Burkert, Norman L. Allinger.</t>
        </is>
      </c>
      <c r="F1004" t="inlineStr">
        <is>
          <t>No</t>
        </is>
      </c>
      <c r="G1004" t="inlineStr">
        <is>
          <t>1</t>
        </is>
      </c>
      <c r="H1004" t="inlineStr">
        <is>
          <t>No</t>
        </is>
      </c>
      <c r="I1004" t="inlineStr">
        <is>
          <t>No</t>
        </is>
      </c>
      <c r="J1004" t="inlineStr">
        <is>
          <t>0</t>
        </is>
      </c>
      <c r="K1004" t="inlineStr">
        <is>
          <t>Burkert, Ulrich, 1949-</t>
        </is>
      </c>
      <c r="L1004" t="inlineStr">
        <is>
          <t>Washington, D.C. : American Chemical Society, 1982.</t>
        </is>
      </c>
      <c r="M1004" t="inlineStr">
        <is>
          <t>1982</t>
        </is>
      </c>
      <c r="O1004" t="inlineStr">
        <is>
          <t>eng</t>
        </is>
      </c>
      <c r="P1004" t="inlineStr">
        <is>
          <t>dcu</t>
        </is>
      </c>
      <c r="Q1004" t="inlineStr">
        <is>
          <t>ACS monograph, 0065-7719 ; 177</t>
        </is>
      </c>
      <c r="R1004" t="inlineStr">
        <is>
          <t xml:space="preserve">QD </t>
        </is>
      </c>
      <c r="S1004" t="n">
        <v>9</v>
      </c>
      <c r="T1004" t="n">
        <v>9</v>
      </c>
      <c r="U1004" t="inlineStr">
        <is>
          <t>2008-07-21</t>
        </is>
      </c>
      <c r="V1004" t="inlineStr">
        <is>
          <t>2008-07-21</t>
        </is>
      </c>
      <c r="W1004" t="inlineStr">
        <is>
          <t>1990-08-14</t>
        </is>
      </c>
      <c r="X1004" t="inlineStr">
        <is>
          <t>1990-08-14</t>
        </is>
      </c>
      <c r="Y1004" t="n">
        <v>535</v>
      </c>
      <c r="Z1004" t="n">
        <v>420</v>
      </c>
      <c r="AA1004" t="n">
        <v>421</v>
      </c>
      <c r="AB1004" t="n">
        <v>4</v>
      </c>
      <c r="AC1004" t="n">
        <v>4</v>
      </c>
      <c r="AD1004" t="n">
        <v>19</v>
      </c>
      <c r="AE1004" t="n">
        <v>19</v>
      </c>
      <c r="AF1004" t="n">
        <v>5</v>
      </c>
      <c r="AG1004" t="n">
        <v>5</v>
      </c>
      <c r="AH1004" t="n">
        <v>6</v>
      </c>
      <c r="AI1004" t="n">
        <v>6</v>
      </c>
      <c r="AJ1004" t="n">
        <v>10</v>
      </c>
      <c r="AK1004" t="n">
        <v>10</v>
      </c>
      <c r="AL1004" t="n">
        <v>3</v>
      </c>
      <c r="AM1004" t="n">
        <v>3</v>
      </c>
      <c r="AN1004" t="n">
        <v>0</v>
      </c>
      <c r="AO1004" t="n">
        <v>0</v>
      </c>
      <c r="AP1004" t="inlineStr">
        <is>
          <t>No</t>
        </is>
      </c>
      <c r="AQ1004" t="inlineStr">
        <is>
          <t>Yes</t>
        </is>
      </c>
      <c r="AR1004">
        <f>HYPERLINK("http://catalog.hathitrust.org/Record/000334864","HathiTrust Record")</f>
        <v/>
      </c>
      <c r="AS1004">
        <f>HYPERLINK("https://creighton-primo.hosted.exlibrisgroup.com/primo-explore/search?tab=default_tab&amp;search_scope=EVERYTHING&amp;vid=01CRU&amp;lang=en_US&amp;offset=0&amp;query=any,contains,991000028989702656","Catalog Record")</f>
        <v/>
      </c>
      <c r="AT1004">
        <f>HYPERLINK("http://www.worldcat.org/oclc/8590735","WorldCat Record")</f>
        <v/>
      </c>
      <c r="AU1004" t="inlineStr">
        <is>
          <t>505174:eng</t>
        </is>
      </c>
      <c r="AV1004" t="inlineStr">
        <is>
          <t>8590735</t>
        </is>
      </c>
      <c r="AW1004" t="inlineStr">
        <is>
          <t>991000028989702656</t>
        </is>
      </c>
      <c r="AX1004" t="inlineStr">
        <is>
          <t>991000028989702656</t>
        </is>
      </c>
      <c r="AY1004" t="inlineStr">
        <is>
          <t>2272016020002656</t>
        </is>
      </c>
      <c r="AZ1004" t="inlineStr">
        <is>
          <t>BOOK</t>
        </is>
      </c>
      <c r="BB1004" t="inlineStr">
        <is>
          <t>9780841205840</t>
        </is>
      </c>
      <c r="BC1004" t="inlineStr">
        <is>
          <t>32285000268796</t>
        </is>
      </c>
      <c r="BD1004" t="inlineStr">
        <is>
          <t>893613810</t>
        </is>
      </c>
    </row>
    <row r="1005">
      <c r="A1005" t="inlineStr">
        <is>
          <t>No</t>
        </is>
      </c>
      <c r="B1005" t="inlineStr">
        <is>
          <t>QD461 .C422 1992</t>
        </is>
      </c>
      <c r="C1005" t="inlineStr">
        <is>
          <t>0                      QD 0461000C  422         1992</t>
        </is>
      </c>
      <c r="D1005" t="inlineStr">
        <is>
          <t>The Chemical bond : structure and dynamics / edited by Ahmed Zewail.</t>
        </is>
      </c>
      <c r="F1005" t="inlineStr">
        <is>
          <t>No</t>
        </is>
      </c>
      <c r="G1005" t="inlineStr">
        <is>
          <t>1</t>
        </is>
      </c>
      <c r="H1005" t="inlineStr">
        <is>
          <t>No</t>
        </is>
      </c>
      <c r="I1005" t="inlineStr">
        <is>
          <t>No</t>
        </is>
      </c>
      <c r="J1005" t="inlineStr">
        <is>
          <t>0</t>
        </is>
      </c>
      <c r="L1005" t="inlineStr">
        <is>
          <t>Boston : Academic Press, c1992.</t>
        </is>
      </c>
      <c r="M1005" t="inlineStr">
        <is>
          <t>1992</t>
        </is>
      </c>
      <c r="O1005" t="inlineStr">
        <is>
          <t>eng</t>
        </is>
      </c>
      <c r="P1005" t="inlineStr">
        <is>
          <t>mau</t>
        </is>
      </c>
      <c r="R1005" t="inlineStr">
        <is>
          <t xml:space="preserve">QD </t>
        </is>
      </c>
      <c r="S1005" t="n">
        <v>7</v>
      </c>
      <c r="T1005" t="n">
        <v>7</v>
      </c>
      <c r="U1005" t="inlineStr">
        <is>
          <t>1997-04-23</t>
        </is>
      </c>
      <c r="V1005" t="inlineStr">
        <is>
          <t>1997-04-23</t>
        </is>
      </c>
      <c r="W1005" t="inlineStr">
        <is>
          <t>1992-06-10</t>
        </is>
      </c>
      <c r="X1005" t="inlineStr">
        <is>
          <t>1992-06-10</t>
        </is>
      </c>
      <c r="Y1005" t="n">
        <v>650</v>
      </c>
      <c r="Z1005" t="n">
        <v>488</v>
      </c>
      <c r="AA1005" t="n">
        <v>524</v>
      </c>
      <c r="AB1005" t="n">
        <v>6</v>
      </c>
      <c r="AC1005" t="n">
        <v>6</v>
      </c>
      <c r="AD1005" t="n">
        <v>29</v>
      </c>
      <c r="AE1005" t="n">
        <v>29</v>
      </c>
      <c r="AF1005" t="n">
        <v>11</v>
      </c>
      <c r="AG1005" t="n">
        <v>11</v>
      </c>
      <c r="AH1005" t="n">
        <v>9</v>
      </c>
      <c r="AI1005" t="n">
        <v>9</v>
      </c>
      <c r="AJ1005" t="n">
        <v>11</v>
      </c>
      <c r="AK1005" t="n">
        <v>11</v>
      </c>
      <c r="AL1005" t="n">
        <v>5</v>
      </c>
      <c r="AM1005" t="n">
        <v>5</v>
      </c>
      <c r="AN1005" t="n">
        <v>0</v>
      </c>
      <c r="AO1005" t="n">
        <v>0</v>
      </c>
      <c r="AP1005" t="inlineStr">
        <is>
          <t>No</t>
        </is>
      </c>
      <c r="AQ1005" t="inlineStr">
        <is>
          <t>Yes</t>
        </is>
      </c>
      <c r="AR1005">
        <f>HYPERLINK("http://catalog.hathitrust.org/Record/002530486","HathiTrust Record")</f>
        <v/>
      </c>
      <c r="AS1005">
        <f>HYPERLINK("https://creighton-primo.hosted.exlibrisgroup.com/primo-explore/search?tab=default_tab&amp;search_scope=EVERYTHING&amp;vid=01CRU&amp;lang=en_US&amp;offset=0&amp;query=any,contains,991001931249702656","Catalog Record")</f>
        <v/>
      </c>
      <c r="AT1005">
        <f>HYPERLINK("http://www.worldcat.org/oclc/24378291","WorldCat Record")</f>
        <v/>
      </c>
      <c r="AU1005" t="inlineStr">
        <is>
          <t>806876941:eng</t>
        </is>
      </c>
      <c r="AV1005" t="inlineStr">
        <is>
          <t>24378291</t>
        </is>
      </c>
      <c r="AW1005" t="inlineStr">
        <is>
          <t>991001931249702656</t>
        </is>
      </c>
      <c r="AX1005" t="inlineStr">
        <is>
          <t>991001931249702656</t>
        </is>
      </c>
      <c r="AY1005" t="inlineStr">
        <is>
          <t>2266405440002656</t>
        </is>
      </c>
      <c r="AZ1005" t="inlineStr">
        <is>
          <t>BOOK</t>
        </is>
      </c>
      <c r="BB1005" t="inlineStr">
        <is>
          <t>9780127796208</t>
        </is>
      </c>
      <c r="BC1005" t="inlineStr">
        <is>
          <t>32285001126829</t>
        </is>
      </c>
      <c r="BD1005" t="inlineStr">
        <is>
          <t>893697159</t>
        </is>
      </c>
    </row>
    <row r="1006">
      <c r="A1006" t="inlineStr">
        <is>
          <t>No</t>
        </is>
      </c>
      <c r="B1006" t="inlineStr">
        <is>
          <t>QD461 .C48</t>
        </is>
      </c>
      <c r="C1006" t="inlineStr">
        <is>
          <t>0                      QD 0461000C  48</t>
        </is>
      </c>
      <c r="D1006" t="inlineStr">
        <is>
          <t>Molecular forces; based on the Baker lectures of Peter J. W. Debye / Benjamin Chu.</t>
        </is>
      </c>
      <c r="F1006" t="inlineStr">
        <is>
          <t>No</t>
        </is>
      </c>
      <c r="G1006" t="inlineStr">
        <is>
          <t>1</t>
        </is>
      </c>
      <c r="H1006" t="inlineStr">
        <is>
          <t>No</t>
        </is>
      </c>
      <c r="I1006" t="inlineStr">
        <is>
          <t>No</t>
        </is>
      </c>
      <c r="J1006" t="inlineStr">
        <is>
          <t>0</t>
        </is>
      </c>
      <c r="K1006" t="inlineStr">
        <is>
          <t>Chu, Benjamin.</t>
        </is>
      </c>
      <c r="L1006" t="inlineStr">
        <is>
          <t>New York : Interscience Publishers, 1967.</t>
        </is>
      </c>
      <c r="M1006" t="inlineStr">
        <is>
          <t>1967</t>
        </is>
      </c>
      <c r="O1006" t="inlineStr">
        <is>
          <t>eng</t>
        </is>
      </c>
      <c r="P1006" t="inlineStr">
        <is>
          <t>nyu</t>
        </is>
      </c>
      <c r="R1006" t="inlineStr">
        <is>
          <t xml:space="preserve">QD </t>
        </is>
      </c>
      <c r="S1006" t="n">
        <v>3</v>
      </c>
      <c r="T1006" t="n">
        <v>3</v>
      </c>
      <c r="U1006" t="inlineStr">
        <is>
          <t>2008-02-21</t>
        </is>
      </c>
      <c r="V1006" t="inlineStr">
        <is>
          <t>2008-02-21</t>
        </is>
      </c>
      <c r="W1006" t="inlineStr">
        <is>
          <t>1990-08-14</t>
        </is>
      </c>
      <c r="X1006" t="inlineStr">
        <is>
          <t>1990-08-14</t>
        </is>
      </c>
      <c r="Y1006" t="n">
        <v>442</v>
      </c>
      <c r="Z1006" t="n">
        <v>349</v>
      </c>
      <c r="AA1006" t="n">
        <v>353</v>
      </c>
      <c r="AB1006" t="n">
        <v>4</v>
      </c>
      <c r="AC1006" t="n">
        <v>4</v>
      </c>
      <c r="AD1006" t="n">
        <v>13</v>
      </c>
      <c r="AE1006" t="n">
        <v>13</v>
      </c>
      <c r="AF1006" t="n">
        <v>0</v>
      </c>
      <c r="AG1006" t="n">
        <v>0</v>
      </c>
      <c r="AH1006" t="n">
        <v>5</v>
      </c>
      <c r="AI1006" t="n">
        <v>5</v>
      </c>
      <c r="AJ1006" t="n">
        <v>7</v>
      </c>
      <c r="AK1006" t="n">
        <v>7</v>
      </c>
      <c r="AL1006" t="n">
        <v>3</v>
      </c>
      <c r="AM1006" t="n">
        <v>3</v>
      </c>
      <c r="AN1006" t="n">
        <v>0</v>
      </c>
      <c r="AO1006" t="n">
        <v>0</v>
      </c>
      <c r="AP1006" t="inlineStr">
        <is>
          <t>No</t>
        </is>
      </c>
      <c r="AQ1006" t="inlineStr">
        <is>
          <t>Yes</t>
        </is>
      </c>
      <c r="AR1006">
        <f>HYPERLINK("http://catalog.hathitrust.org/Record/001113966","HathiTrust Record")</f>
        <v/>
      </c>
      <c r="AS1006">
        <f>HYPERLINK("https://creighton-primo.hosted.exlibrisgroup.com/primo-explore/search?tab=default_tab&amp;search_scope=EVERYTHING&amp;vid=01CRU&amp;lang=en_US&amp;offset=0&amp;query=any,contains,991003363949702656","Catalog Record")</f>
        <v/>
      </c>
      <c r="AT1006">
        <f>HYPERLINK("http://www.worldcat.org/oclc/900434","WorldCat Record")</f>
        <v/>
      </c>
      <c r="AU1006" t="inlineStr">
        <is>
          <t>1833600:eng</t>
        </is>
      </c>
      <c r="AV1006" t="inlineStr">
        <is>
          <t>900434</t>
        </is>
      </c>
      <c r="AW1006" t="inlineStr">
        <is>
          <t>991003363949702656</t>
        </is>
      </c>
      <c r="AX1006" t="inlineStr">
        <is>
          <t>991003363949702656</t>
        </is>
      </c>
      <c r="AY1006" t="inlineStr">
        <is>
          <t>2266427530002656</t>
        </is>
      </c>
      <c r="AZ1006" t="inlineStr">
        <is>
          <t>BOOK</t>
        </is>
      </c>
      <c r="BC1006" t="inlineStr">
        <is>
          <t>32285000268804</t>
        </is>
      </c>
      <c r="BD1006" t="inlineStr">
        <is>
          <t>893348615</t>
        </is>
      </c>
    </row>
    <row r="1007">
      <c r="A1007" t="inlineStr">
        <is>
          <t>No</t>
        </is>
      </c>
      <c r="B1007" t="inlineStr">
        <is>
          <t>QD461 .C52 1985</t>
        </is>
      </c>
      <c r="C1007" t="inlineStr">
        <is>
          <t>0                      QD 0461000C  52          1985</t>
        </is>
      </c>
      <c r="D1007" t="inlineStr">
        <is>
          <t>A handbook of computational chemistry : a practical guide to chemical structure and energy calculations / Tim Clark.</t>
        </is>
      </c>
      <c r="F1007" t="inlineStr">
        <is>
          <t>No</t>
        </is>
      </c>
      <c r="G1007" t="inlineStr">
        <is>
          <t>1</t>
        </is>
      </c>
      <c r="H1007" t="inlineStr">
        <is>
          <t>No</t>
        </is>
      </c>
      <c r="I1007" t="inlineStr">
        <is>
          <t>No</t>
        </is>
      </c>
      <c r="J1007" t="inlineStr">
        <is>
          <t>0</t>
        </is>
      </c>
      <c r="K1007" t="inlineStr">
        <is>
          <t>Clark, Tim, 1949-</t>
        </is>
      </c>
      <c r="L1007" t="inlineStr">
        <is>
          <t>New York : Wiley, c1985.</t>
        </is>
      </c>
      <c r="M1007" t="inlineStr">
        <is>
          <t>1985</t>
        </is>
      </c>
      <c r="O1007" t="inlineStr">
        <is>
          <t>eng</t>
        </is>
      </c>
      <c r="P1007" t="inlineStr">
        <is>
          <t>nyu</t>
        </is>
      </c>
      <c r="R1007" t="inlineStr">
        <is>
          <t xml:space="preserve">QD </t>
        </is>
      </c>
      <c r="S1007" t="n">
        <v>15</v>
      </c>
      <c r="T1007" t="n">
        <v>15</v>
      </c>
      <c r="U1007" t="inlineStr">
        <is>
          <t>1998-10-03</t>
        </is>
      </c>
      <c r="V1007" t="inlineStr">
        <is>
          <t>1998-10-03</t>
        </is>
      </c>
      <c r="W1007" t="inlineStr">
        <is>
          <t>1990-08-14</t>
        </is>
      </c>
      <c r="X1007" t="inlineStr">
        <is>
          <t>1990-08-14</t>
        </is>
      </c>
      <c r="Y1007" t="n">
        <v>803</v>
      </c>
      <c r="Z1007" t="n">
        <v>623</v>
      </c>
      <c r="AA1007" t="n">
        <v>629</v>
      </c>
      <c r="AB1007" t="n">
        <v>5</v>
      </c>
      <c r="AC1007" t="n">
        <v>5</v>
      </c>
      <c r="AD1007" t="n">
        <v>37</v>
      </c>
      <c r="AE1007" t="n">
        <v>37</v>
      </c>
      <c r="AF1007" t="n">
        <v>15</v>
      </c>
      <c r="AG1007" t="n">
        <v>15</v>
      </c>
      <c r="AH1007" t="n">
        <v>7</v>
      </c>
      <c r="AI1007" t="n">
        <v>7</v>
      </c>
      <c r="AJ1007" t="n">
        <v>21</v>
      </c>
      <c r="AK1007" t="n">
        <v>21</v>
      </c>
      <c r="AL1007" t="n">
        <v>4</v>
      </c>
      <c r="AM1007" t="n">
        <v>4</v>
      </c>
      <c r="AN1007" t="n">
        <v>0</v>
      </c>
      <c r="AO1007" t="n">
        <v>0</v>
      </c>
      <c r="AP1007" t="inlineStr">
        <is>
          <t>No</t>
        </is>
      </c>
      <c r="AQ1007" t="inlineStr">
        <is>
          <t>Yes</t>
        </is>
      </c>
      <c r="AR1007">
        <f>HYPERLINK("http://catalog.hathitrust.org/Record/000652180","HathiTrust Record")</f>
        <v/>
      </c>
      <c r="AS1007">
        <f>HYPERLINK("https://creighton-primo.hosted.exlibrisgroup.com/primo-explore/search?tab=default_tab&amp;search_scope=EVERYTHING&amp;vid=01CRU&amp;lang=en_US&amp;offset=0&amp;query=any,contains,991000547579702656","Catalog Record")</f>
        <v/>
      </c>
      <c r="AT1007">
        <f>HYPERLINK("http://www.worldcat.org/oclc/11519331","WorldCat Record")</f>
        <v/>
      </c>
      <c r="AU1007" t="inlineStr">
        <is>
          <t>836693914:eng</t>
        </is>
      </c>
      <c r="AV1007" t="inlineStr">
        <is>
          <t>11519331</t>
        </is>
      </c>
      <c r="AW1007" t="inlineStr">
        <is>
          <t>991000547579702656</t>
        </is>
      </c>
      <c r="AX1007" t="inlineStr">
        <is>
          <t>991000547579702656</t>
        </is>
      </c>
      <c r="AY1007" t="inlineStr">
        <is>
          <t>2267264610002656</t>
        </is>
      </c>
      <c r="AZ1007" t="inlineStr">
        <is>
          <t>BOOK</t>
        </is>
      </c>
      <c r="BB1007" t="inlineStr">
        <is>
          <t>9780471882114</t>
        </is>
      </c>
      <c r="BC1007" t="inlineStr">
        <is>
          <t>32285000268812</t>
        </is>
      </c>
      <c r="BD1007" t="inlineStr">
        <is>
          <t>893528145</t>
        </is>
      </c>
    </row>
    <row r="1008">
      <c r="A1008" t="inlineStr">
        <is>
          <t>No</t>
        </is>
      </c>
      <c r="B1008" t="inlineStr">
        <is>
          <t>QD461 .C635 1989, v...</t>
        </is>
      </c>
      <c r="C1008" t="inlineStr">
        <is>
          <t>0                      QD 0461000C  635         1989                                        v...</t>
        </is>
      </c>
      <c r="D1008" t="inlineStr">
        <is>
          <t>Computer simulation of biomolecular systems : theoretical and experimental applications / edited by Wilfred F. van Gunsteren and Paul K. Weiner.</t>
        </is>
      </c>
      <c r="E1008" t="inlineStr">
        <is>
          <t>V. 3</t>
        </is>
      </c>
      <c r="F1008" t="inlineStr">
        <is>
          <t>No</t>
        </is>
      </c>
      <c r="G1008" t="inlineStr">
        <is>
          <t>1</t>
        </is>
      </c>
      <c r="H1008" t="inlineStr">
        <is>
          <t>No</t>
        </is>
      </c>
      <c r="I1008" t="inlineStr">
        <is>
          <t>No</t>
        </is>
      </c>
      <c r="J1008" t="inlineStr">
        <is>
          <t>0</t>
        </is>
      </c>
      <c r="L1008" t="inlineStr">
        <is>
          <t>Leiden [Netherlands] : ESCOM ; Boston : Kluwer Academic Publishers, 1989-</t>
        </is>
      </c>
      <c r="M1008" t="inlineStr">
        <is>
          <t>1989</t>
        </is>
      </c>
      <c r="O1008" t="inlineStr">
        <is>
          <t>eng</t>
        </is>
      </c>
      <c r="P1008" t="inlineStr">
        <is>
          <t xml:space="preserve">ne </t>
        </is>
      </c>
      <c r="R1008" t="inlineStr">
        <is>
          <t xml:space="preserve">QD </t>
        </is>
      </c>
      <c r="S1008" t="n">
        <v>12</v>
      </c>
      <c r="T1008" t="n">
        <v>12</v>
      </c>
      <c r="U1008" t="inlineStr">
        <is>
          <t>2009-10-12</t>
        </is>
      </c>
      <c r="V1008" t="inlineStr">
        <is>
          <t>2009-10-12</t>
        </is>
      </c>
      <c r="W1008" t="inlineStr">
        <is>
          <t>1999-04-27</t>
        </is>
      </c>
      <c r="X1008" t="inlineStr">
        <is>
          <t>1999-04-27</t>
        </is>
      </c>
      <c r="Y1008" t="n">
        <v>61</v>
      </c>
      <c r="Z1008" t="n">
        <v>48</v>
      </c>
      <c r="AA1008" t="n">
        <v>76</v>
      </c>
      <c r="AB1008" t="n">
        <v>2</v>
      </c>
      <c r="AC1008" t="n">
        <v>2</v>
      </c>
      <c r="AD1008" t="n">
        <v>1</v>
      </c>
      <c r="AE1008" t="n">
        <v>2</v>
      </c>
      <c r="AF1008" t="n">
        <v>0</v>
      </c>
      <c r="AG1008" t="n">
        <v>0</v>
      </c>
      <c r="AH1008" t="n">
        <v>0</v>
      </c>
      <c r="AI1008" t="n">
        <v>0</v>
      </c>
      <c r="AJ1008" t="n">
        <v>0</v>
      </c>
      <c r="AK1008" t="n">
        <v>1</v>
      </c>
      <c r="AL1008" t="n">
        <v>1</v>
      </c>
      <c r="AM1008" t="n">
        <v>1</v>
      </c>
      <c r="AN1008" t="n">
        <v>0</v>
      </c>
      <c r="AO1008" t="n">
        <v>0</v>
      </c>
      <c r="AP1008" t="inlineStr">
        <is>
          <t>No</t>
        </is>
      </c>
      <c r="AQ1008" t="inlineStr">
        <is>
          <t>Yes</t>
        </is>
      </c>
      <c r="AR1008">
        <f>HYPERLINK("http://catalog.hathitrust.org/Record/001543986","HathiTrust Record")</f>
        <v/>
      </c>
      <c r="AS1008">
        <f>HYPERLINK("https://creighton-primo.hosted.exlibrisgroup.com/primo-explore/search?tab=default_tab&amp;search_scope=EVERYTHING&amp;vid=01CRU&amp;lang=en_US&amp;offset=0&amp;query=any,contains,991005411349702656","Catalog Record")</f>
        <v/>
      </c>
      <c r="AT1008">
        <f>HYPERLINK("http://www.worldcat.org/oclc/20185788","WorldCat Record")</f>
        <v/>
      </c>
      <c r="AU1008" t="inlineStr">
        <is>
          <t>476088507:eng</t>
        </is>
      </c>
      <c r="AV1008" t="inlineStr">
        <is>
          <t>20185788</t>
        </is>
      </c>
      <c r="AW1008" t="inlineStr">
        <is>
          <t>991005411349702656</t>
        </is>
      </c>
      <c r="AX1008" t="inlineStr">
        <is>
          <t>991005411349702656</t>
        </is>
      </c>
      <c r="AY1008" t="inlineStr">
        <is>
          <t>2259355970002656</t>
        </is>
      </c>
      <c r="AZ1008" t="inlineStr">
        <is>
          <t>BOOK</t>
        </is>
      </c>
      <c r="BB1008" t="inlineStr">
        <is>
          <t>9789072199034</t>
        </is>
      </c>
      <c r="BC1008" t="inlineStr">
        <is>
          <t>32285003556569</t>
        </is>
      </c>
      <c r="BD1008" t="inlineStr">
        <is>
          <t>893431459</t>
        </is>
      </c>
    </row>
    <row r="1009">
      <c r="A1009" t="inlineStr">
        <is>
          <t>No</t>
        </is>
      </c>
      <c r="B1009" t="inlineStr">
        <is>
          <t>QD461 .D467 2005</t>
        </is>
      </c>
      <c r="C1009" t="inlineStr">
        <is>
          <t>0                      QD 0461000D  467         2005</t>
        </is>
      </c>
      <c r="D1009" t="inlineStr">
        <is>
          <t>Molecular physics : theoretical principles and experimental methods / Wolfgang Demtröder.</t>
        </is>
      </c>
      <c r="F1009" t="inlineStr">
        <is>
          <t>No</t>
        </is>
      </c>
      <c r="G1009" t="inlineStr">
        <is>
          <t>1</t>
        </is>
      </c>
      <c r="H1009" t="inlineStr">
        <is>
          <t>No</t>
        </is>
      </c>
      <c r="I1009" t="inlineStr">
        <is>
          <t>No</t>
        </is>
      </c>
      <c r="J1009" t="inlineStr">
        <is>
          <t>0</t>
        </is>
      </c>
      <c r="K1009" t="inlineStr">
        <is>
          <t>Demtröder, W.</t>
        </is>
      </c>
      <c r="L1009" t="inlineStr">
        <is>
          <t>Weinheim : Wiley-VCH ; Chichester : John Wiley [distributor], 2005.</t>
        </is>
      </c>
      <c r="M1009" t="inlineStr">
        <is>
          <t>2005</t>
        </is>
      </c>
      <c r="O1009" t="inlineStr">
        <is>
          <t>eng</t>
        </is>
      </c>
      <c r="P1009" t="inlineStr">
        <is>
          <t xml:space="preserve">gw </t>
        </is>
      </c>
      <c r="R1009" t="inlineStr">
        <is>
          <t xml:space="preserve">QD </t>
        </is>
      </c>
      <c r="S1009" t="n">
        <v>1</v>
      </c>
      <c r="T1009" t="n">
        <v>1</v>
      </c>
      <c r="U1009" t="inlineStr">
        <is>
          <t>2006-01-17</t>
        </is>
      </c>
      <c r="V1009" t="inlineStr">
        <is>
          <t>2006-01-17</t>
        </is>
      </c>
      <c r="W1009" t="inlineStr">
        <is>
          <t>2006-01-17</t>
        </is>
      </c>
      <c r="X1009" t="inlineStr">
        <is>
          <t>2006-01-17</t>
        </is>
      </c>
      <c r="Y1009" t="n">
        <v>284</v>
      </c>
      <c r="Z1009" t="n">
        <v>186</v>
      </c>
      <c r="AA1009" t="n">
        <v>251</v>
      </c>
      <c r="AB1009" t="n">
        <v>2</v>
      </c>
      <c r="AC1009" t="n">
        <v>2</v>
      </c>
      <c r="AD1009" t="n">
        <v>7</v>
      </c>
      <c r="AE1009" t="n">
        <v>8</v>
      </c>
      <c r="AF1009" t="n">
        <v>4</v>
      </c>
      <c r="AG1009" t="n">
        <v>4</v>
      </c>
      <c r="AH1009" t="n">
        <v>2</v>
      </c>
      <c r="AI1009" t="n">
        <v>2</v>
      </c>
      <c r="AJ1009" t="n">
        <v>3</v>
      </c>
      <c r="AK1009" t="n">
        <v>4</v>
      </c>
      <c r="AL1009" t="n">
        <v>1</v>
      </c>
      <c r="AM1009" t="n">
        <v>1</v>
      </c>
      <c r="AN1009" t="n">
        <v>0</v>
      </c>
      <c r="AO1009" t="n">
        <v>0</v>
      </c>
      <c r="AP1009" t="inlineStr">
        <is>
          <t>No</t>
        </is>
      </c>
      <c r="AQ1009" t="inlineStr">
        <is>
          <t>Yes</t>
        </is>
      </c>
      <c r="AR1009">
        <f>HYPERLINK("http://catalog.hathitrust.org/Record/009094845","HathiTrust Record")</f>
        <v/>
      </c>
      <c r="AS1009">
        <f>HYPERLINK("https://creighton-primo.hosted.exlibrisgroup.com/primo-explore/search?tab=default_tab&amp;search_scope=EVERYTHING&amp;vid=01CRU&amp;lang=en_US&amp;offset=0&amp;query=any,contains,991004696509702656","Catalog Record")</f>
        <v/>
      </c>
      <c r="AT1009">
        <f>HYPERLINK("http://www.worldcat.org/oclc/62946254","WorldCat Record")</f>
        <v/>
      </c>
      <c r="AU1009" t="inlineStr">
        <is>
          <t>2487859129:eng</t>
        </is>
      </c>
      <c r="AV1009" t="inlineStr">
        <is>
          <t>62946254</t>
        </is>
      </c>
      <c r="AW1009" t="inlineStr">
        <is>
          <t>991004696509702656</t>
        </is>
      </c>
      <c r="AX1009" t="inlineStr">
        <is>
          <t>991004696509702656</t>
        </is>
      </c>
      <c r="AY1009" t="inlineStr">
        <is>
          <t>2265209770002656</t>
        </is>
      </c>
      <c r="AZ1009" t="inlineStr">
        <is>
          <t>BOOK</t>
        </is>
      </c>
      <c r="BB1009" t="inlineStr">
        <is>
          <t>9783527405664</t>
        </is>
      </c>
      <c r="BC1009" t="inlineStr">
        <is>
          <t>32285005155261</t>
        </is>
      </c>
      <c r="BD1009" t="inlineStr">
        <is>
          <t>893612661</t>
        </is>
      </c>
    </row>
    <row r="1010">
      <c r="A1010" t="inlineStr">
        <is>
          <t>No</t>
        </is>
      </c>
      <c r="B1010" t="inlineStr">
        <is>
          <t>QD461 .D48</t>
        </is>
      </c>
      <c r="C1010" t="inlineStr">
        <is>
          <t>0                      QD 0461000D  48</t>
        </is>
      </c>
      <c r="D1010" t="inlineStr">
        <is>
          <t>The molecular orbital theory of organic chemistry / [by] Michael J. S. Dewar.</t>
        </is>
      </c>
      <c r="F1010" t="inlineStr">
        <is>
          <t>No</t>
        </is>
      </c>
      <c r="G1010" t="inlineStr">
        <is>
          <t>1</t>
        </is>
      </c>
      <c r="H1010" t="inlineStr">
        <is>
          <t>No</t>
        </is>
      </c>
      <c r="I1010" t="inlineStr">
        <is>
          <t>No</t>
        </is>
      </c>
      <c r="J1010" t="inlineStr">
        <is>
          <t>0</t>
        </is>
      </c>
      <c r="K1010" t="inlineStr">
        <is>
          <t>Dewar, Michael James Steuart.</t>
        </is>
      </c>
      <c r="L1010" t="inlineStr">
        <is>
          <t>New York : McGraw-Hill, [1969]</t>
        </is>
      </c>
      <c r="M1010" t="inlineStr">
        <is>
          <t>1969</t>
        </is>
      </c>
      <c r="O1010" t="inlineStr">
        <is>
          <t>eng</t>
        </is>
      </c>
      <c r="P1010" t="inlineStr">
        <is>
          <t>nyu</t>
        </is>
      </c>
      <c r="Q1010" t="inlineStr">
        <is>
          <t>McGraw-Hill series in advanced chemistry</t>
        </is>
      </c>
      <c r="R1010" t="inlineStr">
        <is>
          <t xml:space="preserve">QD </t>
        </is>
      </c>
      <c r="S1010" t="n">
        <v>2</v>
      </c>
      <c r="T1010" t="n">
        <v>2</v>
      </c>
      <c r="U1010" t="inlineStr">
        <is>
          <t>2009-04-15</t>
        </is>
      </c>
      <c r="V1010" t="inlineStr">
        <is>
          <t>2009-04-15</t>
        </is>
      </c>
      <c r="W1010" t="inlineStr">
        <is>
          <t>1994-11-10</t>
        </is>
      </c>
      <c r="X1010" t="inlineStr">
        <is>
          <t>1994-11-10</t>
        </is>
      </c>
      <c r="Y1010" t="n">
        <v>794</v>
      </c>
      <c r="Z1010" t="n">
        <v>632</v>
      </c>
      <c r="AA1010" t="n">
        <v>634</v>
      </c>
      <c r="AB1010" t="n">
        <v>6</v>
      </c>
      <c r="AC1010" t="n">
        <v>6</v>
      </c>
      <c r="AD1010" t="n">
        <v>24</v>
      </c>
      <c r="AE1010" t="n">
        <v>24</v>
      </c>
      <c r="AF1010" t="n">
        <v>9</v>
      </c>
      <c r="AG1010" t="n">
        <v>9</v>
      </c>
      <c r="AH1010" t="n">
        <v>5</v>
      </c>
      <c r="AI1010" t="n">
        <v>5</v>
      </c>
      <c r="AJ1010" t="n">
        <v>12</v>
      </c>
      <c r="AK1010" t="n">
        <v>12</v>
      </c>
      <c r="AL1010" t="n">
        <v>5</v>
      </c>
      <c r="AM1010" t="n">
        <v>5</v>
      </c>
      <c r="AN1010" t="n">
        <v>0</v>
      </c>
      <c r="AO1010" t="n">
        <v>0</v>
      </c>
      <c r="AP1010" t="inlineStr">
        <is>
          <t>No</t>
        </is>
      </c>
      <c r="AQ1010" t="inlineStr">
        <is>
          <t>Yes</t>
        </is>
      </c>
      <c r="AR1010">
        <f>HYPERLINK("http://catalog.hathitrust.org/Record/001424605","HathiTrust Record")</f>
        <v/>
      </c>
      <c r="AS1010">
        <f>HYPERLINK("https://creighton-primo.hosted.exlibrisgroup.com/primo-explore/search?tab=default_tab&amp;search_scope=EVERYTHING&amp;vid=01CRU&amp;lang=en_US&amp;offset=0&amp;query=any,contains,991005432619702656","Catalog Record")</f>
        <v/>
      </c>
      <c r="AT1010">
        <f>HYPERLINK("http://www.worldcat.org/oclc/1200","WorldCat Record")</f>
        <v/>
      </c>
      <c r="AU1010" t="inlineStr">
        <is>
          <t>1124585:eng</t>
        </is>
      </c>
      <c r="AV1010" t="inlineStr">
        <is>
          <t>1200</t>
        </is>
      </c>
      <c r="AW1010" t="inlineStr">
        <is>
          <t>991005432619702656</t>
        </is>
      </c>
      <c r="AX1010" t="inlineStr">
        <is>
          <t>991005432619702656</t>
        </is>
      </c>
      <c r="AY1010" t="inlineStr">
        <is>
          <t>2271427320002656</t>
        </is>
      </c>
      <c r="AZ1010" t="inlineStr">
        <is>
          <t>BOOK</t>
        </is>
      </c>
      <c r="BC1010" t="inlineStr">
        <is>
          <t>32285001965002</t>
        </is>
      </c>
      <c r="BD1010" t="inlineStr">
        <is>
          <t>893701603</t>
        </is>
      </c>
    </row>
    <row r="1011">
      <c r="A1011" t="inlineStr">
        <is>
          <t>No</t>
        </is>
      </c>
      <c r="B1011" t="inlineStr">
        <is>
          <t>QD461 .F24</t>
        </is>
      </c>
      <c r="C1011" t="inlineStr">
        <is>
          <t>0                      QD 0461000F  24</t>
        </is>
      </c>
      <c r="D1011" t="inlineStr">
        <is>
          <t>Symmetry in coordination chemistry / [by] John P. Fackler, Jr.</t>
        </is>
      </c>
      <c r="F1011" t="inlineStr">
        <is>
          <t>No</t>
        </is>
      </c>
      <c r="G1011" t="inlineStr">
        <is>
          <t>1</t>
        </is>
      </c>
      <c r="H1011" t="inlineStr">
        <is>
          <t>No</t>
        </is>
      </c>
      <c r="I1011" t="inlineStr">
        <is>
          <t>No</t>
        </is>
      </c>
      <c r="J1011" t="inlineStr">
        <is>
          <t>0</t>
        </is>
      </c>
      <c r="K1011" t="inlineStr">
        <is>
          <t>Fackler, John P.</t>
        </is>
      </c>
      <c r="L1011" t="inlineStr">
        <is>
          <t>New York : Academic Press, [1971]</t>
        </is>
      </c>
      <c r="M1011" t="inlineStr">
        <is>
          <t>1971</t>
        </is>
      </c>
      <c r="O1011" t="inlineStr">
        <is>
          <t>eng</t>
        </is>
      </c>
      <c r="P1011" t="inlineStr">
        <is>
          <t>nyu</t>
        </is>
      </c>
      <c r="R1011" t="inlineStr">
        <is>
          <t xml:space="preserve">QD </t>
        </is>
      </c>
      <c r="S1011" t="n">
        <v>5</v>
      </c>
      <c r="T1011" t="n">
        <v>5</v>
      </c>
      <c r="U1011" t="inlineStr">
        <is>
          <t>1998-10-27</t>
        </is>
      </c>
      <c r="V1011" t="inlineStr">
        <is>
          <t>1998-10-27</t>
        </is>
      </c>
      <c r="W1011" t="inlineStr">
        <is>
          <t>1992-09-09</t>
        </is>
      </c>
      <c r="X1011" t="inlineStr">
        <is>
          <t>1992-09-09</t>
        </is>
      </c>
      <c r="Y1011" t="n">
        <v>562</v>
      </c>
      <c r="Z1011" t="n">
        <v>434</v>
      </c>
      <c r="AA1011" t="n">
        <v>474</v>
      </c>
      <c r="AB1011" t="n">
        <v>5</v>
      </c>
      <c r="AC1011" t="n">
        <v>5</v>
      </c>
      <c r="AD1011" t="n">
        <v>16</v>
      </c>
      <c r="AE1011" t="n">
        <v>19</v>
      </c>
      <c r="AF1011" t="n">
        <v>6</v>
      </c>
      <c r="AG1011" t="n">
        <v>8</v>
      </c>
      <c r="AH1011" t="n">
        <v>3</v>
      </c>
      <c r="AI1011" t="n">
        <v>5</v>
      </c>
      <c r="AJ1011" t="n">
        <v>8</v>
      </c>
      <c r="AK1011" t="n">
        <v>8</v>
      </c>
      <c r="AL1011" t="n">
        <v>4</v>
      </c>
      <c r="AM1011" t="n">
        <v>4</v>
      </c>
      <c r="AN1011" t="n">
        <v>0</v>
      </c>
      <c r="AO1011" t="n">
        <v>0</v>
      </c>
      <c r="AP1011" t="inlineStr">
        <is>
          <t>No</t>
        </is>
      </c>
      <c r="AQ1011" t="inlineStr">
        <is>
          <t>Yes</t>
        </is>
      </c>
      <c r="AR1011">
        <f>HYPERLINK("http://catalog.hathitrust.org/Record/001034411","HathiTrust Record")</f>
        <v/>
      </c>
      <c r="AS1011">
        <f>HYPERLINK("https://creighton-primo.hosted.exlibrisgroup.com/primo-explore/search?tab=default_tab&amp;search_scope=EVERYTHING&amp;vid=01CRU&amp;lang=en_US&amp;offset=0&amp;query=any,contains,991001287469702656","Catalog Record")</f>
        <v/>
      </c>
      <c r="AT1011">
        <f>HYPERLINK("http://www.worldcat.org/oclc/216892","WorldCat Record")</f>
        <v/>
      </c>
      <c r="AU1011" t="inlineStr">
        <is>
          <t>1308959:eng</t>
        </is>
      </c>
      <c r="AV1011" t="inlineStr">
        <is>
          <t>216892</t>
        </is>
      </c>
      <c r="AW1011" t="inlineStr">
        <is>
          <t>991001287469702656</t>
        </is>
      </c>
      <c r="AX1011" t="inlineStr">
        <is>
          <t>991001287469702656</t>
        </is>
      </c>
      <c r="AY1011" t="inlineStr">
        <is>
          <t>2256848390002656</t>
        </is>
      </c>
      <c r="AZ1011" t="inlineStr">
        <is>
          <t>BOOK</t>
        </is>
      </c>
      <c r="BB1011" t="inlineStr">
        <is>
          <t>9780122475504</t>
        </is>
      </c>
      <c r="BC1011" t="inlineStr">
        <is>
          <t>32285001296945</t>
        </is>
      </c>
      <c r="BD1011" t="inlineStr">
        <is>
          <t>893891470</t>
        </is>
      </c>
    </row>
    <row r="1012">
      <c r="A1012" t="inlineStr">
        <is>
          <t>No</t>
        </is>
      </c>
      <c r="B1012" t="inlineStr">
        <is>
          <t>QD461 .G27 1984</t>
        </is>
      </c>
      <c r="C1012" t="inlineStr">
        <is>
          <t>0                      QD 0461000G  27          1984</t>
        </is>
      </c>
      <c r="D1012" t="inlineStr">
        <is>
          <t>Gaussian basis sets for molecular calculations / edited by S. Huzinaga, with, as coauthors, J. Andzelm ... [et al.].</t>
        </is>
      </c>
      <c r="F1012" t="inlineStr">
        <is>
          <t>No</t>
        </is>
      </c>
      <c r="G1012" t="inlineStr">
        <is>
          <t>1</t>
        </is>
      </c>
      <c r="H1012" t="inlineStr">
        <is>
          <t>No</t>
        </is>
      </c>
      <c r="I1012" t="inlineStr">
        <is>
          <t>No</t>
        </is>
      </c>
      <c r="J1012" t="inlineStr">
        <is>
          <t>0</t>
        </is>
      </c>
      <c r="L1012" t="inlineStr">
        <is>
          <t>Amsterdam ; New York : Elsevier, 1984.</t>
        </is>
      </c>
      <c r="M1012" t="inlineStr">
        <is>
          <t>1984</t>
        </is>
      </c>
      <c r="O1012" t="inlineStr">
        <is>
          <t>eng</t>
        </is>
      </c>
      <c r="P1012" t="inlineStr">
        <is>
          <t xml:space="preserve">ne </t>
        </is>
      </c>
      <c r="Q1012" t="inlineStr">
        <is>
          <t>Physical sciences data ; 16</t>
        </is>
      </c>
      <c r="R1012" t="inlineStr">
        <is>
          <t xml:space="preserve">QD </t>
        </is>
      </c>
      <c r="S1012" t="n">
        <v>4</v>
      </c>
      <c r="T1012" t="n">
        <v>4</v>
      </c>
      <c r="U1012" t="inlineStr">
        <is>
          <t>1996-01-29</t>
        </is>
      </c>
      <c r="V1012" t="inlineStr">
        <is>
          <t>1996-01-29</t>
        </is>
      </c>
      <c r="W1012" t="inlineStr">
        <is>
          <t>1992-05-18</t>
        </is>
      </c>
      <c r="X1012" t="inlineStr">
        <is>
          <t>1992-05-18</t>
        </is>
      </c>
      <c r="Y1012" t="n">
        <v>244</v>
      </c>
      <c r="Z1012" t="n">
        <v>145</v>
      </c>
      <c r="AA1012" t="n">
        <v>195</v>
      </c>
      <c r="AB1012" t="n">
        <v>2</v>
      </c>
      <c r="AC1012" t="n">
        <v>3</v>
      </c>
      <c r="AD1012" t="n">
        <v>5</v>
      </c>
      <c r="AE1012" t="n">
        <v>8</v>
      </c>
      <c r="AF1012" t="n">
        <v>1</v>
      </c>
      <c r="AG1012" t="n">
        <v>2</v>
      </c>
      <c r="AH1012" t="n">
        <v>2</v>
      </c>
      <c r="AI1012" t="n">
        <v>3</v>
      </c>
      <c r="AJ1012" t="n">
        <v>3</v>
      </c>
      <c r="AK1012" t="n">
        <v>3</v>
      </c>
      <c r="AL1012" t="n">
        <v>1</v>
      </c>
      <c r="AM1012" t="n">
        <v>2</v>
      </c>
      <c r="AN1012" t="n">
        <v>0</v>
      </c>
      <c r="AO1012" t="n">
        <v>0</v>
      </c>
      <c r="AP1012" t="inlineStr">
        <is>
          <t>No</t>
        </is>
      </c>
      <c r="AQ1012" t="inlineStr">
        <is>
          <t>Yes</t>
        </is>
      </c>
      <c r="AR1012">
        <f>HYPERLINK("http://catalog.hathitrust.org/Record/000320765","HathiTrust Record")</f>
        <v/>
      </c>
      <c r="AS1012">
        <f>HYPERLINK("https://creighton-primo.hosted.exlibrisgroup.com/primo-explore/search?tab=default_tab&amp;search_scope=EVERYTHING&amp;vid=01CRU&amp;lang=en_US&amp;offset=0&amp;query=any,contains,991000323359702656","Catalog Record")</f>
        <v/>
      </c>
      <c r="AT1012">
        <f>HYPERLINK("http://www.worldcat.org/oclc/10162048","WorldCat Record")</f>
        <v/>
      </c>
      <c r="AU1012" t="inlineStr">
        <is>
          <t>365468154:eng</t>
        </is>
      </c>
      <c r="AV1012" t="inlineStr">
        <is>
          <t>10162048</t>
        </is>
      </c>
      <c r="AW1012" t="inlineStr">
        <is>
          <t>991000323359702656</t>
        </is>
      </c>
      <c r="AX1012" t="inlineStr">
        <is>
          <t>991000323359702656</t>
        </is>
      </c>
      <c r="AY1012" t="inlineStr">
        <is>
          <t>2268134090002656</t>
        </is>
      </c>
      <c r="AZ1012" t="inlineStr">
        <is>
          <t>BOOK</t>
        </is>
      </c>
      <c r="BB1012" t="inlineStr">
        <is>
          <t>9780444422545</t>
        </is>
      </c>
      <c r="BC1012" t="inlineStr">
        <is>
          <t>32285001111441</t>
        </is>
      </c>
      <c r="BD1012" t="inlineStr">
        <is>
          <t>893249246</t>
        </is>
      </c>
    </row>
    <row r="1013">
      <c r="A1013" t="inlineStr">
        <is>
          <t>No</t>
        </is>
      </c>
      <c r="B1013" t="inlineStr">
        <is>
          <t>QD461 .G52 2000</t>
        </is>
      </c>
      <c r="C1013" t="inlineStr">
        <is>
          <t>0                      QD 0461000G  52          2000</t>
        </is>
      </c>
      <c r="D1013" t="inlineStr">
        <is>
          <t>Orbitals in chemistry : a modern guide for students / Victor M.S. Gil.</t>
        </is>
      </c>
      <c r="F1013" t="inlineStr">
        <is>
          <t>No</t>
        </is>
      </c>
      <c r="G1013" t="inlineStr">
        <is>
          <t>1</t>
        </is>
      </c>
      <c r="H1013" t="inlineStr">
        <is>
          <t>No</t>
        </is>
      </c>
      <c r="I1013" t="inlineStr">
        <is>
          <t>No</t>
        </is>
      </c>
      <c r="J1013" t="inlineStr">
        <is>
          <t>0</t>
        </is>
      </c>
      <c r="K1013" t="inlineStr">
        <is>
          <t>Gil, Victor M. S., 1939-</t>
        </is>
      </c>
      <c r="L1013" t="inlineStr">
        <is>
          <t>Cambridge ; New York : Cambridge University Press, 2000.</t>
        </is>
      </c>
      <c r="M1013" t="inlineStr">
        <is>
          <t>2000</t>
        </is>
      </c>
      <c r="O1013" t="inlineStr">
        <is>
          <t>eng</t>
        </is>
      </c>
      <c r="P1013" t="inlineStr">
        <is>
          <t>enk</t>
        </is>
      </c>
      <c r="R1013" t="inlineStr">
        <is>
          <t xml:space="preserve">QD </t>
        </is>
      </c>
      <c r="S1013" t="n">
        <v>3</v>
      </c>
      <c r="T1013" t="n">
        <v>3</v>
      </c>
      <c r="U1013" t="inlineStr">
        <is>
          <t>2008-04-13</t>
        </is>
      </c>
      <c r="V1013" t="inlineStr">
        <is>
          <t>2008-04-13</t>
        </is>
      </c>
      <c r="W1013" t="inlineStr">
        <is>
          <t>2002-04-11</t>
        </is>
      </c>
      <c r="X1013" t="inlineStr">
        <is>
          <t>2002-04-11</t>
        </is>
      </c>
      <c r="Y1013" t="n">
        <v>534</v>
      </c>
      <c r="Z1013" t="n">
        <v>461</v>
      </c>
      <c r="AA1013" t="n">
        <v>469</v>
      </c>
      <c r="AB1013" t="n">
        <v>7</v>
      </c>
      <c r="AC1013" t="n">
        <v>7</v>
      </c>
      <c r="AD1013" t="n">
        <v>26</v>
      </c>
      <c r="AE1013" t="n">
        <v>28</v>
      </c>
      <c r="AF1013" t="n">
        <v>9</v>
      </c>
      <c r="AG1013" t="n">
        <v>10</v>
      </c>
      <c r="AH1013" t="n">
        <v>3</v>
      </c>
      <c r="AI1013" t="n">
        <v>4</v>
      </c>
      <c r="AJ1013" t="n">
        <v>12</v>
      </c>
      <c r="AK1013" t="n">
        <v>13</v>
      </c>
      <c r="AL1013" t="n">
        <v>6</v>
      </c>
      <c r="AM1013" t="n">
        <v>6</v>
      </c>
      <c r="AN1013" t="n">
        <v>0</v>
      </c>
      <c r="AO1013" t="n">
        <v>0</v>
      </c>
      <c r="AP1013" t="inlineStr">
        <is>
          <t>No</t>
        </is>
      </c>
      <c r="AQ1013" t="inlineStr">
        <is>
          <t>No</t>
        </is>
      </c>
      <c r="AS1013">
        <f>HYPERLINK("https://creighton-primo.hosted.exlibrisgroup.com/primo-explore/search?tab=default_tab&amp;search_scope=EVERYTHING&amp;vid=01CRU&amp;lang=en_US&amp;offset=0&amp;query=any,contains,991003746999702656","Catalog Record")</f>
        <v/>
      </c>
      <c r="AT1013">
        <f>HYPERLINK("http://www.worldcat.org/oclc/43312484","WorldCat Record")</f>
        <v/>
      </c>
      <c r="AU1013" t="inlineStr">
        <is>
          <t>899384277:eng</t>
        </is>
      </c>
      <c r="AV1013" t="inlineStr">
        <is>
          <t>43312484</t>
        </is>
      </c>
      <c r="AW1013" t="inlineStr">
        <is>
          <t>991003746999702656</t>
        </is>
      </c>
      <c r="AX1013" t="inlineStr">
        <is>
          <t>991003746999702656</t>
        </is>
      </c>
      <c r="AY1013" t="inlineStr">
        <is>
          <t>2257797680002656</t>
        </is>
      </c>
      <c r="AZ1013" t="inlineStr">
        <is>
          <t>BOOK</t>
        </is>
      </c>
      <c r="BB1013" t="inlineStr">
        <is>
          <t>9780521661676</t>
        </is>
      </c>
      <c r="BC1013" t="inlineStr">
        <is>
          <t>32285004479118</t>
        </is>
      </c>
      <c r="BD1013" t="inlineStr">
        <is>
          <t>893318356</t>
        </is>
      </c>
    </row>
    <row r="1014">
      <c r="A1014" t="inlineStr">
        <is>
          <t>No</t>
        </is>
      </c>
      <c r="B1014" t="inlineStr">
        <is>
          <t>QD461 .G537 2001</t>
        </is>
      </c>
      <c r="C1014" t="inlineStr">
        <is>
          <t>0                      QD 0461000G  537         2001</t>
        </is>
      </c>
      <c r="D1014" t="inlineStr">
        <is>
          <t>Chemical bonding and molecular geometry : from Lewis to electron densities / Ronald J. Gillespie, Paul L.A. Popelier.</t>
        </is>
      </c>
      <c r="F1014" t="inlineStr">
        <is>
          <t>No</t>
        </is>
      </c>
      <c r="G1014" t="inlineStr">
        <is>
          <t>1</t>
        </is>
      </c>
      <c r="H1014" t="inlineStr">
        <is>
          <t>No</t>
        </is>
      </c>
      <c r="I1014" t="inlineStr">
        <is>
          <t>No</t>
        </is>
      </c>
      <c r="J1014" t="inlineStr">
        <is>
          <t>0</t>
        </is>
      </c>
      <c r="K1014" t="inlineStr">
        <is>
          <t>Gillespie, Ronald J. (Ronald James)</t>
        </is>
      </c>
      <c r="L1014" t="inlineStr">
        <is>
          <t>New York : Oxford University Press, 2001.</t>
        </is>
      </c>
      <c r="M1014" t="inlineStr">
        <is>
          <t>2001</t>
        </is>
      </c>
      <c r="O1014" t="inlineStr">
        <is>
          <t>eng</t>
        </is>
      </c>
      <c r="P1014" t="inlineStr">
        <is>
          <t>nyu</t>
        </is>
      </c>
      <c r="Q1014" t="inlineStr">
        <is>
          <t>Topics in inorganic chemistry</t>
        </is>
      </c>
      <c r="R1014" t="inlineStr">
        <is>
          <t xml:space="preserve">QD </t>
        </is>
      </c>
      <c r="S1014" t="n">
        <v>4</v>
      </c>
      <c r="T1014" t="n">
        <v>4</v>
      </c>
      <c r="U1014" t="inlineStr">
        <is>
          <t>2006-09-14</t>
        </is>
      </c>
      <c r="V1014" t="inlineStr">
        <is>
          <t>2006-09-14</t>
        </is>
      </c>
      <c r="W1014" t="inlineStr">
        <is>
          <t>2001-04-11</t>
        </is>
      </c>
      <c r="X1014" t="inlineStr">
        <is>
          <t>2001-04-11</t>
        </is>
      </c>
      <c r="Y1014" t="n">
        <v>426</v>
      </c>
      <c r="Z1014" t="n">
        <v>296</v>
      </c>
      <c r="AA1014" t="n">
        <v>296</v>
      </c>
      <c r="AB1014" t="n">
        <v>4</v>
      </c>
      <c r="AC1014" t="n">
        <v>4</v>
      </c>
      <c r="AD1014" t="n">
        <v>18</v>
      </c>
      <c r="AE1014" t="n">
        <v>18</v>
      </c>
      <c r="AF1014" t="n">
        <v>6</v>
      </c>
      <c r="AG1014" t="n">
        <v>6</v>
      </c>
      <c r="AH1014" t="n">
        <v>5</v>
      </c>
      <c r="AI1014" t="n">
        <v>5</v>
      </c>
      <c r="AJ1014" t="n">
        <v>10</v>
      </c>
      <c r="AK1014" t="n">
        <v>10</v>
      </c>
      <c r="AL1014" t="n">
        <v>3</v>
      </c>
      <c r="AM1014" t="n">
        <v>3</v>
      </c>
      <c r="AN1014" t="n">
        <v>0</v>
      </c>
      <c r="AO1014" t="n">
        <v>0</v>
      </c>
      <c r="AP1014" t="inlineStr">
        <is>
          <t>No</t>
        </is>
      </c>
      <c r="AQ1014" t="inlineStr">
        <is>
          <t>No</t>
        </is>
      </c>
      <c r="AS1014">
        <f>HYPERLINK("https://creighton-primo.hosted.exlibrisgroup.com/primo-explore/search?tab=default_tab&amp;search_scope=EVERYTHING&amp;vid=01CRU&amp;lang=en_US&amp;offset=0&amp;query=any,contains,991003502839702656","Catalog Record")</f>
        <v/>
      </c>
      <c r="AT1014">
        <f>HYPERLINK("http://www.worldcat.org/oclc/43552798","WorldCat Record")</f>
        <v/>
      </c>
      <c r="AU1014" t="inlineStr">
        <is>
          <t>837079645:eng</t>
        </is>
      </c>
      <c r="AV1014" t="inlineStr">
        <is>
          <t>43552798</t>
        </is>
      </c>
      <c r="AW1014" t="inlineStr">
        <is>
          <t>991003502839702656</t>
        </is>
      </c>
      <c r="AX1014" t="inlineStr">
        <is>
          <t>991003502839702656</t>
        </is>
      </c>
      <c r="AY1014" t="inlineStr">
        <is>
          <t>2255301930002656</t>
        </is>
      </c>
      <c r="AZ1014" t="inlineStr">
        <is>
          <t>BOOK</t>
        </is>
      </c>
      <c r="BB1014" t="inlineStr">
        <is>
          <t>9780195104967</t>
        </is>
      </c>
      <c r="BC1014" t="inlineStr">
        <is>
          <t>32285004311725</t>
        </is>
      </c>
      <c r="BD1014" t="inlineStr">
        <is>
          <t>893518537</t>
        </is>
      </c>
    </row>
    <row r="1015">
      <c r="A1015" t="inlineStr">
        <is>
          <t>No</t>
        </is>
      </c>
      <c r="B1015" t="inlineStr">
        <is>
          <t>QD461 .G85</t>
        </is>
      </c>
      <c r="C1015" t="inlineStr">
        <is>
          <t>0                      QD 0461000G  85</t>
        </is>
      </c>
      <c r="D1015" t="inlineStr">
        <is>
          <t>Chemical bonding and structure.</t>
        </is>
      </c>
      <c r="F1015" t="inlineStr">
        <is>
          <t>No</t>
        </is>
      </c>
      <c r="G1015" t="inlineStr">
        <is>
          <t>1</t>
        </is>
      </c>
      <c r="H1015" t="inlineStr">
        <is>
          <t>No</t>
        </is>
      </c>
      <c r="I1015" t="inlineStr">
        <is>
          <t>No</t>
        </is>
      </c>
      <c r="J1015" t="inlineStr">
        <is>
          <t>0</t>
        </is>
      </c>
      <c r="K1015" t="inlineStr">
        <is>
          <t>Griswold, Ernest, 1905-</t>
        </is>
      </c>
      <c r="L1015" t="inlineStr">
        <is>
          <t>[Boston? Mass.] : Raytheon Education Co., 1968.</t>
        </is>
      </c>
      <c r="M1015" t="inlineStr">
        <is>
          <t>1968</t>
        </is>
      </c>
      <c r="O1015" t="inlineStr">
        <is>
          <t>eng</t>
        </is>
      </c>
      <c r="P1015" t="inlineStr">
        <is>
          <t>mau</t>
        </is>
      </c>
      <c r="Q1015" t="inlineStr">
        <is>
          <t>Topics in modern chemistry</t>
        </is>
      </c>
      <c r="R1015" t="inlineStr">
        <is>
          <t xml:space="preserve">QD </t>
        </is>
      </c>
      <c r="S1015" t="n">
        <v>5</v>
      </c>
      <c r="T1015" t="n">
        <v>5</v>
      </c>
      <c r="U1015" t="inlineStr">
        <is>
          <t>2006-09-14</t>
        </is>
      </c>
      <c r="V1015" t="inlineStr">
        <is>
          <t>2006-09-14</t>
        </is>
      </c>
      <c r="W1015" t="inlineStr">
        <is>
          <t>1994-11-29</t>
        </is>
      </c>
      <c r="X1015" t="inlineStr">
        <is>
          <t>1994-11-29</t>
        </is>
      </c>
      <c r="Y1015" t="n">
        <v>236</v>
      </c>
      <c r="Z1015" t="n">
        <v>191</v>
      </c>
      <c r="AA1015" t="n">
        <v>218</v>
      </c>
      <c r="AB1015" t="n">
        <v>5</v>
      </c>
      <c r="AC1015" t="n">
        <v>5</v>
      </c>
      <c r="AD1015" t="n">
        <v>11</v>
      </c>
      <c r="AE1015" t="n">
        <v>12</v>
      </c>
      <c r="AF1015" t="n">
        <v>3</v>
      </c>
      <c r="AG1015" t="n">
        <v>3</v>
      </c>
      <c r="AH1015" t="n">
        <v>3</v>
      </c>
      <c r="AI1015" t="n">
        <v>3</v>
      </c>
      <c r="AJ1015" t="n">
        <v>4</v>
      </c>
      <c r="AK1015" t="n">
        <v>5</v>
      </c>
      <c r="AL1015" t="n">
        <v>4</v>
      </c>
      <c r="AM1015" t="n">
        <v>4</v>
      </c>
      <c r="AN1015" t="n">
        <v>0</v>
      </c>
      <c r="AO1015" t="n">
        <v>0</v>
      </c>
      <c r="AP1015" t="inlineStr">
        <is>
          <t>No</t>
        </is>
      </c>
      <c r="AQ1015" t="inlineStr">
        <is>
          <t>Yes</t>
        </is>
      </c>
      <c r="AR1015">
        <f>HYPERLINK("http://catalog.hathitrust.org/Record/001034416","HathiTrust Record")</f>
        <v/>
      </c>
      <c r="AS1015">
        <f>HYPERLINK("https://creighton-primo.hosted.exlibrisgroup.com/primo-explore/search?tab=default_tab&amp;search_scope=EVERYTHING&amp;vid=01CRU&amp;lang=en_US&amp;offset=0&amp;query=any,contains,991003355609702656","Catalog Record")</f>
        <v/>
      </c>
      <c r="AT1015">
        <f>HYPERLINK("http://www.worldcat.org/oclc/888986","WorldCat Record")</f>
        <v/>
      </c>
      <c r="AU1015" t="inlineStr">
        <is>
          <t>1773163:eng</t>
        </is>
      </c>
      <c r="AV1015" t="inlineStr">
        <is>
          <t>888986</t>
        </is>
      </c>
      <c r="AW1015" t="inlineStr">
        <is>
          <t>991003355609702656</t>
        </is>
      </c>
      <c r="AX1015" t="inlineStr">
        <is>
          <t>991003355609702656</t>
        </is>
      </c>
      <c r="AY1015" t="inlineStr">
        <is>
          <t>2256840560002656</t>
        </is>
      </c>
      <c r="AZ1015" t="inlineStr">
        <is>
          <t>BOOK</t>
        </is>
      </c>
      <c r="BC1015" t="inlineStr">
        <is>
          <t>32285001968568</t>
        </is>
      </c>
      <c r="BD1015" t="inlineStr">
        <is>
          <t>893717578</t>
        </is>
      </c>
    </row>
    <row r="1016">
      <c r="A1016" t="inlineStr">
        <is>
          <t>No</t>
        </is>
      </c>
      <c r="B1016" t="inlineStr">
        <is>
          <t>QD461 .H169 1992</t>
        </is>
      </c>
      <c r="C1016" t="inlineStr">
        <is>
          <t>0                      QD 0461000H  169         1992</t>
        </is>
      </c>
      <c r="D1016" t="inlineStr">
        <is>
          <t>Orbital symmetry and reaction mechanism : the OCAMS view / E. Amitai Halevi.</t>
        </is>
      </c>
      <c r="F1016" t="inlineStr">
        <is>
          <t>No</t>
        </is>
      </c>
      <c r="G1016" t="inlineStr">
        <is>
          <t>1</t>
        </is>
      </c>
      <c r="H1016" t="inlineStr">
        <is>
          <t>No</t>
        </is>
      </c>
      <c r="I1016" t="inlineStr">
        <is>
          <t>No</t>
        </is>
      </c>
      <c r="J1016" t="inlineStr">
        <is>
          <t>0</t>
        </is>
      </c>
      <c r="K1016" t="inlineStr">
        <is>
          <t>Halevi, E. Amitai (Emil Amitai), 1922-</t>
        </is>
      </c>
      <c r="L1016" t="inlineStr">
        <is>
          <t>Berlin ; New York : Springer-Verlag, c1992.</t>
        </is>
      </c>
      <c r="M1016" t="inlineStr">
        <is>
          <t>1992</t>
        </is>
      </c>
      <c r="O1016" t="inlineStr">
        <is>
          <t>eng</t>
        </is>
      </c>
      <c r="P1016" t="inlineStr">
        <is>
          <t xml:space="preserve">gw </t>
        </is>
      </c>
      <c r="R1016" t="inlineStr">
        <is>
          <t xml:space="preserve">QD </t>
        </is>
      </c>
      <c r="S1016" t="n">
        <v>2</v>
      </c>
      <c r="T1016" t="n">
        <v>2</v>
      </c>
      <c r="U1016" t="inlineStr">
        <is>
          <t>1995-11-13</t>
        </is>
      </c>
      <c r="V1016" t="inlineStr">
        <is>
          <t>1995-11-13</t>
        </is>
      </c>
      <c r="W1016" t="inlineStr">
        <is>
          <t>1993-10-16</t>
        </is>
      </c>
      <c r="X1016" t="inlineStr">
        <is>
          <t>1993-10-16</t>
        </is>
      </c>
      <c r="Y1016" t="n">
        <v>320</v>
      </c>
      <c r="Z1016" t="n">
        <v>233</v>
      </c>
      <c r="AA1016" t="n">
        <v>259</v>
      </c>
      <c r="AB1016" t="n">
        <v>3</v>
      </c>
      <c r="AC1016" t="n">
        <v>3</v>
      </c>
      <c r="AD1016" t="n">
        <v>15</v>
      </c>
      <c r="AE1016" t="n">
        <v>16</v>
      </c>
      <c r="AF1016" t="n">
        <v>5</v>
      </c>
      <c r="AG1016" t="n">
        <v>6</v>
      </c>
      <c r="AH1016" t="n">
        <v>5</v>
      </c>
      <c r="AI1016" t="n">
        <v>5</v>
      </c>
      <c r="AJ1016" t="n">
        <v>8</v>
      </c>
      <c r="AK1016" t="n">
        <v>9</v>
      </c>
      <c r="AL1016" t="n">
        <v>2</v>
      </c>
      <c r="AM1016" t="n">
        <v>2</v>
      </c>
      <c r="AN1016" t="n">
        <v>0</v>
      </c>
      <c r="AO1016" t="n">
        <v>0</v>
      </c>
      <c r="AP1016" t="inlineStr">
        <is>
          <t>No</t>
        </is>
      </c>
      <c r="AQ1016" t="inlineStr">
        <is>
          <t>Yes</t>
        </is>
      </c>
      <c r="AR1016">
        <f>HYPERLINK("http://catalog.hathitrust.org/Record/002571798","HathiTrust Record")</f>
        <v/>
      </c>
      <c r="AS1016">
        <f>HYPERLINK("https://creighton-primo.hosted.exlibrisgroup.com/primo-explore/search?tab=default_tab&amp;search_scope=EVERYTHING&amp;vid=01CRU&amp;lang=en_US&amp;offset=0&amp;query=any,contains,991001921939702656","Catalog Record")</f>
        <v/>
      </c>
      <c r="AT1016">
        <f>HYPERLINK("http://www.worldcat.org/oclc/24247711","WorldCat Record")</f>
        <v/>
      </c>
      <c r="AU1016" t="inlineStr">
        <is>
          <t>836897929:eng</t>
        </is>
      </c>
      <c r="AV1016" t="inlineStr">
        <is>
          <t>24247711</t>
        </is>
      </c>
      <c r="AW1016" t="inlineStr">
        <is>
          <t>991001921939702656</t>
        </is>
      </c>
      <c r="AX1016" t="inlineStr">
        <is>
          <t>991001921939702656</t>
        </is>
      </c>
      <c r="AY1016" t="inlineStr">
        <is>
          <t>2262024050002656</t>
        </is>
      </c>
      <c r="AZ1016" t="inlineStr">
        <is>
          <t>BOOK</t>
        </is>
      </c>
      <c r="BB1016" t="inlineStr">
        <is>
          <t>9780387501642</t>
        </is>
      </c>
      <c r="BC1016" t="inlineStr">
        <is>
          <t>32285001786119</t>
        </is>
      </c>
      <c r="BD1016" t="inlineStr">
        <is>
          <t>893340832</t>
        </is>
      </c>
    </row>
    <row r="1017">
      <c r="A1017" t="inlineStr">
        <is>
          <t>No</t>
        </is>
      </c>
      <c r="B1017" t="inlineStr">
        <is>
          <t>QD461 .H49</t>
        </is>
      </c>
      <c r="C1017" t="inlineStr">
        <is>
          <t>0                      QD 0461000H  49</t>
        </is>
      </c>
      <c r="D1017" t="inlineStr">
        <is>
          <t>Quantum organic chemistry [by] Keniti Higasi, Hiroaki Baba [and] Alan Rembaum.</t>
        </is>
      </c>
      <c r="F1017" t="inlineStr">
        <is>
          <t>No</t>
        </is>
      </c>
      <c r="G1017" t="inlineStr">
        <is>
          <t>1</t>
        </is>
      </c>
      <c r="H1017" t="inlineStr">
        <is>
          <t>No</t>
        </is>
      </c>
      <c r="I1017" t="inlineStr">
        <is>
          <t>No</t>
        </is>
      </c>
      <c r="J1017" t="inlineStr">
        <is>
          <t>0</t>
        </is>
      </c>
      <c r="K1017" t="inlineStr">
        <is>
          <t>Higashi, Kenʼichi, 1905-</t>
        </is>
      </c>
      <c r="L1017" t="inlineStr">
        <is>
          <t>New York, Interscience Publishers, [1965]</t>
        </is>
      </c>
      <c r="M1017" t="inlineStr">
        <is>
          <t>1965</t>
        </is>
      </c>
      <c r="O1017" t="inlineStr">
        <is>
          <t>eng</t>
        </is>
      </c>
      <c r="P1017" t="inlineStr">
        <is>
          <t>nyu</t>
        </is>
      </c>
      <c r="R1017" t="inlineStr">
        <is>
          <t xml:space="preserve">QD </t>
        </is>
      </c>
      <c r="S1017" t="n">
        <v>1</v>
      </c>
      <c r="T1017" t="n">
        <v>1</v>
      </c>
      <c r="U1017" t="inlineStr">
        <is>
          <t>2009-04-15</t>
        </is>
      </c>
      <c r="V1017" t="inlineStr">
        <is>
          <t>2009-04-15</t>
        </is>
      </c>
      <c r="W1017" t="inlineStr">
        <is>
          <t>1997-06-12</t>
        </is>
      </c>
      <c r="X1017" t="inlineStr">
        <is>
          <t>1997-06-12</t>
        </is>
      </c>
      <c r="Y1017" t="n">
        <v>471</v>
      </c>
      <c r="Z1017" t="n">
        <v>395</v>
      </c>
      <c r="AA1017" t="n">
        <v>405</v>
      </c>
      <c r="AB1017" t="n">
        <v>3</v>
      </c>
      <c r="AC1017" t="n">
        <v>3</v>
      </c>
      <c r="AD1017" t="n">
        <v>18</v>
      </c>
      <c r="AE1017" t="n">
        <v>18</v>
      </c>
      <c r="AF1017" t="n">
        <v>5</v>
      </c>
      <c r="AG1017" t="n">
        <v>5</v>
      </c>
      <c r="AH1017" t="n">
        <v>4</v>
      </c>
      <c r="AI1017" t="n">
        <v>4</v>
      </c>
      <c r="AJ1017" t="n">
        <v>10</v>
      </c>
      <c r="AK1017" t="n">
        <v>10</v>
      </c>
      <c r="AL1017" t="n">
        <v>2</v>
      </c>
      <c r="AM1017" t="n">
        <v>2</v>
      </c>
      <c r="AN1017" t="n">
        <v>0</v>
      </c>
      <c r="AO1017" t="n">
        <v>0</v>
      </c>
      <c r="AP1017" t="inlineStr">
        <is>
          <t>No</t>
        </is>
      </c>
      <c r="AQ1017" t="inlineStr">
        <is>
          <t>Yes</t>
        </is>
      </c>
      <c r="AR1017">
        <f>HYPERLINK("http://catalog.hathitrust.org/Record/001034419","HathiTrust Record")</f>
        <v/>
      </c>
      <c r="AS1017">
        <f>HYPERLINK("https://creighton-primo.hosted.exlibrisgroup.com/primo-explore/search?tab=default_tab&amp;search_scope=EVERYTHING&amp;vid=01CRU&amp;lang=en_US&amp;offset=0&amp;query=any,contains,991002958479702656","Catalog Record")</f>
        <v/>
      </c>
      <c r="AT1017">
        <f>HYPERLINK("http://www.worldcat.org/oclc/543050","WorldCat Record")</f>
        <v/>
      </c>
      <c r="AU1017" t="inlineStr">
        <is>
          <t>1572842:eng</t>
        </is>
      </c>
      <c r="AV1017" t="inlineStr">
        <is>
          <t>543050</t>
        </is>
      </c>
      <c r="AW1017" t="inlineStr">
        <is>
          <t>991002958479702656</t>
        </is>
      </c>
      <c r="AX1017" t="inlineStr">
        <is>
          <t>991002958479702656</t>
        </is>
      </c>
      <c r="AY1017" t="inlineStr">
        <is>
          <t>2265494150002656</t>
        </is>
      </c>
      <c r="AZ1017" t="inlineStr">
        <is>
          <t>BOOK</t>
        </is>
      </c>
      <c r="BC1017" t="inlineStr">
        <is>
          <t>32285002806049</t>
        </is>
      </c>
      <c r="BD1017" t="inlineStr">
        <is>
          <t>893809747</t>
        </is>
      </c>
    </row>
    <row r="1018">
      <c r="A1018" t="inlineStr">
        <is>
          <t>No</t>
        </is>
      </c>
      <c r="B1018" t="inlineStr">
        <is>
          <t>QD461 .H68 1984</t>
        </is>
      </c>
      <c r="C1018" t="inlineStr">
        <is>
          <t>0                      QD 0461000H  68          1984</t>
        </is>
      </c>
      <c r="D1018" t="inlineStr">
        <is>
          <t>A pictorial approach to molecular structure and reactivity / Robert F. Hout, William J. Pietro, Warren J. Hehre.</t>
        </is>
      </c>
      <c r="F1018" t="inlineStr">
        <is>
          <t>No</t>
        </is>
      </c>
      <c r="G1018" t="inlineStr">
        <is>
          <t>1</t>
        </is>
      </c>
      <c r="H1018" t="inlineStr">
        <is>
          <t>No</t>
        </is>
      </c>
      <c r="I1018" t="inlineStr">
        <is>
          <t>No</t>
        </is>
      </c>
      <c r="J1018" t="inlineStr">
        <is>
          <t>0</t>
        </is>
      </c>
      <c r="K1018" t="inlineStr">
        <is>
          <t>Hout, Robert F. (Robert Francis), 1956-</t>
        </is>
      </c>
      <c r="L1018" t="inlineStr">
        <is>
          <t>New York : Wiley, c1984.</t>
        </is>
      </c>
      <c r="M1018" t="inlineStr">
        <is>
          <t>1984</t>
        </is>
      </c>
      <c r="O1018" t="inlineStr">
        <is>
          <t>eng</t>
        </is>
      </c>
      <c r="P1018" t="inlineStr">
        <is>
          <t>nyu</t>
        </is>
      </c>
      <c r="R1018" t="inlineStr">
        <is>
          <t xml:space="preserve">QD </t>
        </is>
      </c>
      <c r="S1018" t="n">
        <v>7</v>
      </c>
      <c r="T1018" t="n">
        <v>7</v>
      </c>
      <c r="U1018" t="inlineStr">
        <is>
          <t>2002-02-27</t>
        </is>
      </c>
      <c r="V1018" t="inlineStr">
        <is>
          <t>2002-02-27</t>
        </is>
      </c>
      <c r="W1018" t="inlineStr">
        <is>
          <t>1990-08-14</t>
        </is>
      </c>
      <c r="X1018" t="inlineStr">
        <is>
          <t>1990-08-14</t>
        </is>
      </c>
      <c r="Y1018" t="n">
        <v>527</v>
      </c>
      <c r="Z1018" t="n">
        <v>430</v>
      </c>
      <c r="AA1018" t="n">
        <v>432</v>
      </c>
      <c r="AB1018" t="n">
        <v>2</v>
      </c>
      <c r="AC1018" t="n">
        <v>2</v>
      </c>
      <c r="AD1018" t="n">
        <v>20</v>
      </c>
      <c r="AE1018" t="n">
        <v>20</v>
      </c>
      <c r="AF1018" t="n">
        <v>5</v>
      </c>
      <c r="AG1018" t="n">
        <v>5</v>
      </c>
      <c r="AH1018" t="n">
        <v>6</v>
      </c>
      <c r="AI1018" t="n">
        <v>6</v>
      </c>
      <c r="AJ1018" t="n">
        <v>12</v>
      </c>
      <c r="AK1018" t="n">
        <v>12</v>
      </c>
      <c r="AL1018" t="n">
        <v>1</v>
      </c>
      <c r="AM1018" t="n">
        <v>1</v>
      </c>
      <c r="AN1018" t="n">
        <v>0</v>
      </c>
      <c r="AO1018" t="n">
        <v>0</v>
      </c>
      <c r="AP1018" t="inlineStr">
        <is>
          <t>No</t>
        </is>
      </c>
      <c r="AQ1018" t="inlineStr">
        <is>
          <t>Yes</t>
        </is>
      </c>
      <c r="AR1018">
        <f>HYPERLINK("http://catalog.hathitrust.org/Record/000122846","HathiTrust Record")</f>
        <v/>
      </c>
      <c r="AS1018">
        <f>HYPERLINK("https://creighton-primo.hosted.exlibrisgroup.com/primo-explore/search?tab=default_tab&amp;search_scope=EVERYTHING&amp;vid=01CRU&amp;lang=en_US&amp;offset=0&amp;query=any,contains,991005403369702656","Catalog Record")</f>
        <v/>
      </c>
      <c r="AT1018">
        <f>HYPERLINK("http://www.worldcat.org/oclc/9919089","WorldCat Record")</f>
        <v/>
      </c>
      <c r="AU1018" t="inlineStr">
        <is>
          <t>43888850:eng</t>
        </is>
      </c>
      <c r="AV1018" t="inlineStr">
        <is>
          <t>9919089</t>
        </is>
      </c>
      <c r="AW1018" t="inlineStr">
        <is>
          <t>991005403369702656</t>
        </is>
      </c>
      <c r="AX1018" t="inlineStr">
        <is>
          <t>991005403369702656</t>
        </is>
      </c>
      <c r="AY1018" t="inlineStr">
        <is>
          <t>2268203830002656</t>
        </is>
      </c>
      <c r="AZ1018" t="inlineStr">
        <is>
          <t>BOOK</t>
        </is>
      </c>
      <c r="BB1018" t="inlineStr">
        <is>
          <t>9780471897033</t>
        </is>
      </c>
      <c r="BC1018" t="inlineStr">
        <is>
          <t>32285000268846</t>
        </is>
      </c>
      <c r="BD1018" t="inlineStr">
        <is>
          <t>893527562</t>
        </is>
      </c>
    </row>
    <row r="1019">
      <c r="A1019" t="inlineStr">
        <is>
          <t>No</t>
        </is>
      </c>
      <c r="B1019" t="inlineStr">
        <is>
          <t>QD461 .I57 1981</t>
        </is>
      </c>
      <c r="C1019" t="inlineStr">
        <is>
          <t>0                      QD 0461000I  57          1981</t>
        </is>
      </c>
      <c r="D1019" t="inlineStr">
        <is>
          <t>Intermolecular forces : their origin and determination / by Geoffrey C. Maitland ... [et al.].</t>
        </is>
      </c>
      <c r="F1019" t="inlineStr">
        <is>
          <t>No</t>
        </is>
      </c>
      <c r="G1019" t="inlineStr">
        <is>
          <t>1</t>
        </is>
      </c>
      <c r="H1019" t="inlineStr">
        <is>
          <t>No</t>
        </is>
      </c>
      <c r="I1019" t="inlineStr">
        <is>
          <t>No</t>
        </is>
      </c>
      <c r="J1019" t="inlineStr">
        <is>
          <t>0</t>
        </is>
      </c>
      <c r="L1019" t="inlineStr">
        <is>
          <t>Oxford : Clarendon Press ; New York : Oxford University Press, 1981.</t>
        </is>
      </c>
      <c r="M1019" t="inlineStr">
        <is>
          <t>1981</t>
        </is>
      </c>
      <c r="O1019" t="inlineStr">
        <is>
          <t>eng</t>
        </is>
      </c>
      <c r="P1019" t="inlineStr">
        <is>
          <t>enk</t>
        </is>
      </c>
      <c r="Q1019" t="inlineStr">
        <is>
          <t>International series of monographs on chemistry</t>
        </is>
      </c>
      <c r="R1019" t="inlineStr">
        <is>
          <t xml:space="preserve">QD </t>
        </is>
      </c>
      <c r="S1019" t="n">
        <v>5</v>
      </c>
      <c r="T1019" t="n">
        <v>5</v>
      </c>
      <c r="U1019" t="inlineStr">
        <is>
          <t>2008-02-21</t>
        </is>
      </c>
      <c r="V1019" t="inlineStr">
        <is>
          <t>2008-02-21</t>
        </is>
      </c>
      <c r="W1019" t="inlineStr">
        <is>
          <t>1993-02-03</t>
        </is>
      </c>
      <c r="X1019" t="inlineStr">
        <is>
          <t>1993-02-03</t>
        </is>
      </c>
      <c r="Y1019" t="n">
        <v>430</v>
      </c>
      <c r="Z1019" t="n">
        <v>303</v>
      </c>
      <c r="AA1019" t="n">
        <v>353</v>
      </c>
      <c r="AB1019" t="n">
        <v>3</v>
      </c>
      <c r="AC1019" t="n">
        <v>3</v>
      </c>
      <c r="AD1019" t="n">
        <v>15</v>
      </c>
      <c r="AE1019" t="n">
        <v>16</v>
      </c>
      <c r="AF1019" t="n">
        <v>5</v>
      </c>
      <c r="AG1019" t="n">
        <v>5</v>
      </c>
      <c r="AH1019" t="n">
        <v>5</v>
      </c>
      <c r="AI1019" t="n">
        <v>6</v>
      </c>
      <c r="AJ1019" t="n">
        <v>9</v>
      </c>
      <c r="AK1019" t="n">
        <v>9</v>
      </c>
      <c r="AL1019" t="n">
        <v>2</v>
      </c>
      <c r="AM1019" t="n">
        <v>2</v>
      </c>
      <c r="AN1019" t="n">
        <v>0</v>
      </c>
      <c r="AO1019" t="n">
        <v>0</v>
      </c>
      <c r="AP1019" t="inlineStr">
        <is>
          <t>No</t>
        </is>
      </c>
      <c r="AQ1019" t="inlineStr">
        <is>
          <t>Yes</t>
        </is>
      </c>
      <c r="AR1019">
        <f>HYPERLINK("http://catalog.hathitrust.org/Record/000101805","HathiTrust Record")</f>
        <v/>
      </c>
      <c r="AS1019">
        <f>HYPERLINK("https://creighton-primo.hosted.exlibrisgroup.com/primo-explore/search?tab=default_tab&amp;search_scope=EVERYTHING&amp;vid=01CRU&amp;lang=en_US&amp;offset=0&amp;query=any,contains,991005208929702656","Catalog Record")</f>
        <v/>
      </c>
      <c r="AT1019">
        <f>HYPERLINK("http://www.worldcat.org/oclc/8139179","WorldCat Record")</f>
        <v/>
      </c>
      <c r="AU1019" t="inlineStr">
        <is>
          <t>807217437:eng</t>
        </is>
      </c>
      <c r="AV1019" t="inlineStr">
        <is>
          <t>8139179</t>
        </is>
      </c>
      <c r="AW1019" t="inlineStr">
        <is>
          <t>991005208929702656</t>
        </is>
      </c>
      <c r="AX1019" t="inlineStr">
        <is>
          <t>991005208929702656</t>
        </is>
      </c>
      <c r="AY1019" t="inlineStr">
        <is>
          <t>2264021050002656</t>
        </is>
      </c>
      <c r="AZ1019" t="inlineStr">
        <is>
          <t>BOOK</t>
        </is>
      </c>
      <c r="BB1019" t="inlineStr">
        <is>
          <t>9780198556114</t>
        </is>
      </c>
      <c r="BC1019" t="inlineStr">
        <is>
          <t>32285001516631</t>
        </is>
      </c>
      <c r="BD1019" t="inlineStr">
        <is>
          <t>893808003</t>
        </is>
      </c>
    </row>
    <row r="1020">
      <c r="A1020" t="inlineStr">
        <is>
          <t>No</t>
        </is>
      </c>
      <c r="B1020" t="inlineStr">
        <is>
          <t>QD461 .I87 1992</t>
        </is>
      </c>
      <c r="C1020" t="inlineStr">
        <is>
          <t>0                      QD 0461000I  87          1992</t>
        </is>
      </c>
      <c r="D1020" t="inlineStr">
        <is>
          <t>Intermolecular and surface forces / Jacob N. Israelachvili.</t>
        </is>
      </c>
      <c r="F1020" t="inlineStr">
        <is>
          <t>No</t>
        </is>
      </c>
      <c r="G1020" t="inlineStr">
        <is>
          <t>1</t>
        </is>
      </c>
      <c r="H1020" t="inlineStr">
        <is>
          <t>No</t>
        </is>
      </c>
      <c r="I1020" t="inlineStr">
        <is>
          <t>No</t>
        </is>
      </c>
      <c r="J1020" t="inlineStr">
        <is>
          <t>0</t>
        </is>
      </c>
      <c r="K1020" t="inlineStr">
        <is>
          <t>Israelachvili, Jacob N.</t>
        </is>
      </c>
      <c r="L1020" t="inlineStr">
        <is>
          <t>London ; San Diego : Academic Press, 1991, c1992.</t>
        </is>
      </c>
      <c r="M1020" t="inlineStr">
        <is>
          <t>1991</t>
        </is>
      </c>
      <c r="N1020" t="inlineStr">
        <is>
          <t>2nd ed.</t>
        </is>
      </c>
      <c r="O1020" t="inlineStr">
        <is>
          <t>eng</t>
        </is>
      </c>
      <c r="P1020" t="inlineStr">
        <is>
          <t>enk</t>
        </is>
      </c>
      <c r="R1020" t="inlineStr">
        <is>
          <t xml:space="preserve">QD </t>
        </is>
      </c>
      <c r="S1020" t="n">
        <v>9</v>
      </c>
      <c r="T1020" t="n">
        <v>9</v>
      </c>
      <c r="U1020" t="inlineStr">
        <is>
          <t>2005-12-05</t>
        </is>
      </c>
      <c r="V1020" t="inlineStr">
        <is>
          <t>2005-12-05</t>
        </is>
      </c>
      <c r="W1020" t="inlineStr">
        <is>
          <t>1992-09-14</t>
        </is>
      </c>
      <c r="X1020" t="inlineStr">
        <is>
          <t>1992-09-14</t>
        </is>
      </c>
      <c r="Y1020" t="n">
        <v>331</v>
      </c>
      <c r="Z1020" t="n">
        <v>213</v>
      </c>
      <c r="AA1020" t="n">
        <v>845</v>
      </c>
      <c r="AB1020" t="n">
        <v>1</v>
      </c>
      <c r="AC1020" t="n">
        <v>7</v>
      </c>
      <c r="AD1020" t="n">
        <v>8</v>
      </c>
      <c r="AE1020" t="n">
        <v>42</v>
      </c>
      <c r="AF1020" t="n">
        <v>1</v>
      </c>
      <c r="AG1020" t="n">
        <v>16</v>
      </c>
      <c r="AH1020" t="n">
        <v>4</v>
      </c>
      <c r="AI1020" t="n">
        <v>10</v>
      </c>
      <c r="AJ1020" t="n">
        <v>6</v>
      </c>
      <c r="AK1020" t="n">
        <v>17</v>
      </c>
      <c r="AL1020" t="n">
        <v>0</v>
      </c>
      <c r="AM1020" t="n">
        <v>6</v>
      </c>
      <c r="AN1020" t="n">
        <v>0</v>
      </c>
      <c r="AO1020" t="n">
        <v>1</v>
      </c>
      <c r="AP1020" t="inlineStr">
        <is>
          <t>No</t>
        </is>
      </c>
      <c r="AQ1020" t="inlineStr">
        <is>
          <t>No</t>
        </is>
      </c>
      <c r="AS1020">
        <f>HYPERLINK("https://creighton-primo.hosted.exlibrisgroup.com/primo-explore/search?tab=default_tab&amp;search_scope=EVERYTHING&amp;vid=01CRU&amp;lang=en_US&amp;offset=0&amp;query=any,contains,991001955879702656","Catalog Record")</f>
        <v/>
      </c>
      <c r="AT1020">
        <f>HYPERLINK("http://www.worldcat.org/oclc/137313926","WorldCat Record")</f>
        <v/>
      </c>
      <c r="AU1020" t="inlineStr">
        <is>
          <t>2544572:eng</t>
        </is>
      </c>
      <c r="AV1020" t="inlineStr">
        <is>
          <t>137313926</t>
        </is>
      </c>
      <c r="AW1020" t="inlineStr">
        <is>
          <t>991001955879702656</t>
        </is>
      </c>
      <c r="AX1020" t="inlineStr">
        <is>
          <t>991001955879702656</t>
        </is>
      </c>
      <c r="AY1020" t="inlineStr">
        <is>
          <t>2271039090002656</t>
        </is>
      </c>
      <c r="AZ1020" t="inlineStr">
        <is>
          <t>BOOK</t>
        </is>
      </c>
      <c r="BB1020" t="inlineStr">
        <is>
          <t>9780123751812</t>
        </is>
      </c>
      <c r="BC1020" t="inlineStr">
        <is>
          <t>32285001287472</t>
        </is>
      </c>
      <c r="BD1020" t="inlineStr">
        <is>
          <t>893715892</t>
        </is>
      </c>
    </row>
    <row r="1021">
      <c r="A1021" t="inlineStr">
        <is>
          <t>No</t>
        </is>
      </c>
      <c r="B1021" t="inlineStr">
        <is>
          <t>QD461 .J3</t>
        </is>
      </c>
      <c r="C1021" t="inlineStr">
        <is>
          <t>0                      QD 0461000J  3</t>
        </is>
      </c>
      <c r="D1021" t="inlineStr">
        <is>
          <t>Symmetry in chemistry / [by] H. H. Jaffé &amp; Milton Orchin.</t>
        </is>
      </c>
      <c r="F1021" t="inlineStr">
        <is>
          <t>No</t>
        </is>
      </c>
      <c r="G1021" t="inlineStr">
        <is>
          <t>1</t>
        </is>
      </c>
      <c r="H1021" t="inlineStr">
        <is>
          <t>No</t>
        </is>
      </c>
      <c r="I1021" t="inlineStr">
        <is>
          <t>No</t>
        </is>
      </c>
      <c r="J1021" t="inlineStr">
        <is>
          <t>0</t>
        </is>
      </c>
      <c r="K1021" t="inlineStr">
        <is>
          <t>Jaffé, Hans H.</t>
        </is>
      </c>
      <c r="L1021" t="inlineStr">
        <is>
          <t>New York : J. Wiley, [1965]</t>
        </is>
      </c>
      <c r="M1021" t="inlineStr">
        <is>
          <t>1965</t>
        </is>
      </c>
      <c r="O1021" t="inlineStr">
        <is>
          <t>eng</t>
        </is>
      </c>
      <c r="P1021" t="inlineStr">
        <is>
          <t>nyu</t>
        </is>
      </c>
      <c r="R1021" t="inlineStr">
        <is>
          <t xml:space="preserve">QD </t>
        </is>
      </c>
      <c r="S1021" t="n">
        <v>6</v>
      </c>
      <c r="T1021" t="n">
        <v>6</v>
      </c>
      <c r="U1021" t="inlineStr">
        <is>
          <t>1995-09-23</t>
        </is>
      </c>
      <c r="V1021" t="inlineStr">
        <is>
          <t>1995-09-23</t>
        </is>
      </c>
      <c r="W1021" t="inlineStr">
        <is>
          <t>1994-03-14</t>
        </is>
      </c>
      <c r="X1021" t="inlineStr">
        <is>
          <t>1994-03-14</t>
        </is>
      </c>
      <c r="Y1021" t="n">
        <v>840</v>
      </c>
      <c r="Z1021" t="n">
        <v>671</v>
      </c>
      <c r="AA1021" t="n">
        <v>754</v>
      </c>
      <c r="AB1021" t="n">
        <v>5</v>
      </c>
      <c r="AC1021" t="n">
        <v>5</v>
      </c>
      <c r="AD1021" t="n">
        <v>25</v>
      </c>
      <c r="AE1021" t="n">
        <v>34</v>
      </c>
      <c r="AF1021" t="n">
        <v>9</v>
      </c>
      <c r="AG1021" t="n">
        <v>13</v>
      </c>
      <c r="AH1021" t="n">
        <v>4</v>
      </c>
      <c r="AI1021" t="n">
        <v>8</v>
      </c>
      <c r="AJ1021" t="n">
        <v>14</v>
      </c>
      <c r="AK1021" t="n">
        <v>18</v>
      </c>
      <c r="AL1021" t="n">
        <v>4</v>
      </c>
      <c r="AM1021" t="n">
        <v>4</v>
      </c>
      <c r="AN1021" t="n">
        <v>0</v>
      </c>
      <c r="AO1021" t="n">
        <v>0</v>
      </c>
      <c r="AP1021" t="inlineStr">
        <is>
          <t>No</t>
        </is>
      </c>
      <c r="AQ1021" t="inlineStr">
        <is>
          <t>Yes</t>
        </is>
      </c>
      <c r="AR1021">
        <f>HYPERLINK("http://catalog.hathitrust.org/Record/001113980","HathiTrust Record")</f>
        <v/>
      </c>
      <c r="AS1021">
        <f>HYPERLINK("https://creighton-primo.hosted.exlibrisgroup.com/primo-explore/search?tab=default_tab&amp;search_scope=EVERYTHING&amp;vid=01CRU&amp;lang=en_US&amp;offset=0&amp;query=any,contains,991002911529702656","Catalog Record")</f>
        <v/>
      </c>
      <c r="AT1021">
        <f>HYPERLINK("http://www.worldcat.org/oclc/522190","WorldCat Record")</f>
        <v/>
      </c>
      <c r="AU1021" t="inlineStr">
        <is>
          <t>1520702:eng</t>
        </is>
      </c>
      <c r="AV1021" t="inlineStr">
        <is>
          <t>522190</t>
        </is>
      </c>
      <c r="AW1021" t="inlineStr">
        <is>
          <t>991002911529702656</t>
        </is>
      </c>
      <c r="AX1021" t="inlineStr">
        <is>
          <t>991002911529702656</t>
        </is>
      </c>
      <c r="AY1021" t="inlineStr">
        <is>
          <t>2260079520002656</t>
        </is>
      </c>
      <c r="AZ1021" t="inlineStr">
        <is>
          <t>BOOK</t>
        </is>
      </c>
      <c r="BC1021" t="inlineStr">
        <is>
          <t>32285001853232</t>
        </is>
      </c>
      <c r="BD1021" t="inlineStr">
        <is>
          <t>893604200</t>
        </is>
      </c>
    </row>
    <row r="1022">
      <c r="A1022" t="inlineStr">
        <is>
          <t>No</t>
        </is>
      </c>
      <c r="B1022" t="inlineStr">
        <is>
          <t>QD461 .K33</t>
        </is>
      </c>
      <c r="C1022" t="inlineStr">
        <is>
          <t>0                      QD 0461000K  33</t>
        </is>
      </c>
      <c r="D1022" t="inlineStr">
        <is>
          <t>Atoms and molecules : an introduction for students of physical chemistry / [by] Martin Karplus [and] Richard N. Porter.</t>
        </is>
      </c>
      <c r="F1022" t="inlineStr">
        <is>
          <t>No</t>
        </is>
      </c>
      <c r="G1022" t="inlineStr">
        <is>
          <t>1</t>
        </is>
      </c>
      <c r="H1022" t="inlineStr">
        <is>
          <t>No</t>
        </is>
      </c>
      <c r="I1022" t="inlineStr">
        <is>
          <t>No</t>
        </is>
      </c>
      <c r="J1022" t="inlineStr">
        <is>
          <t>0</t>
        </is>
      </c>
      <c r="K1022" t="inlineStr">
        <is>
          <t>Karplus, Martin, 1930-</t>
        </is>
      </c>
      <c r="L1022" t="inlineStr">
        <is>
          <t>New York : W. A. Benjamin, 1970.</t>
        </is>
      </c>
      <c r="M1022" t="inlineStr">
        <is>
          <t>1970</t>
        </is>
      </c>
      <c r="O1022" t="inlineStr">
        <is>
          <t>eng</t>
        </is>
      </c>
      <c r="P1022" t="inlineStr">
        <is>
          <t>nyu</t>
        </is>
      </c>
      <c r="R1022" t="inlineStr">
        <is>
          <t xml:space="preserve">QD </t>
        </is>
      </c>
      <c r="S1022" t="n">
        <v>3</v>
      </c>
      <c r="T1022" t="n">
        <v>3</v>
      </c>
      <c r="U1022" t="inlineStr">
        <is>
          <t>1998-10-01</t>
        </is>
      </c>
      <c r="V1022" t="inlineStr">
        <is>
          <t>1998-10-01</t>
        </is>
      </c>
      <c r="W1022" t="inlineStr">
        <is>
          <t>1994-11-03</t>
        </is>
      </c>
      <c r="X1022" t="inlineStr">
        <is>
          <t>1994-11-03</t>
        </is>
      </c>
      <c r="Y1022" t="n">
        <v>622</v>
      </c>
      <c r="Z1022" t="n">
        <v>505</v>
      </c>
      <c r="AA1022" t="n">
        <v>522</v>
      </c>
      <c r="AB1022" t="n">
        <v>5</v>
      </c>
      <c r="AC1022" t="n">
        <v>5</v>
      </c>
      <c r="AD1022" t="n">
        <v>19</v>
      </c>
      <c r="AE1022" t="n">
        <v>19</v>
      </c>
      <c r="AF1022" t="n">
        <v>8</v>
      </c>
      <c r="AG1022" t="n">
        <v>8</v>
      </c>
      <c r="AH1022" t="n">
        <v>1</v>
      </c>
      <c r="AI1022" t="n">
        <v>1</v>
      </c>
      <c r="AJ1022" t="n">
        <v>11</v>
      </c>
      <c r="AK1022" t="n">
        <v>11</v>
      </c>
      <c r="AL1022" t="n">
        <v>4</v>
      </c>
      <c r="AM1022" t="n">
        <v>4</v>
      </c>
      <c r="AN1022" t="n">
        <v>0</v>
      </c>
      <c r="AO1022" t="n">
        <v>0</v>
      </c>
      <c r="AP1022" t="inlineStr">
        <is>
          <t>No</t>
        </is>
      </c>
      <c r="AQ1022" t="inlineStr">
        <is>
          <t>Yes</t>
        </is>
      </c>
      <c r="AR1022">
        <f>HYPERLINK("http://catalog.hathitrust.org/Record/001113981","HathiTrust Record")</f>
        <v/>
      </c>
      <c r="AS1022">
        <f>HYPERLINK("https://creighton-primo.hosted.exlibrisgroup.com/primo-explore/search?tab=default_tab&amp;search_scope=EVERYTHING&amp;vid=01CRU&amp;lang=en_US&amp;offset=0&amp;query=any,contains,991000607289702656","Catalog Record")</f>
        <v/>
      </c>
      <c r="AT1022">
        <f>HYPERLINK("http://www.worldcat.org/oclc/99559","WorldCat Record")</f>
        <v/>
      </c>
      <c r="AU1022" t="inlineStr">
        <is>
          <t>918036910:eng</t>
        </is>
      </c>
      <c r="AV1022" t="inlineStr">
        <is>
          <t>99559</t>
        </is>
      </c>
      <c r="AW1022" t="inlineStr">
        <is>
          <t>991000607289702656</t>
        </is>
      </c>
      <c r="AX1022" t="inlineStr">
        <is>
          <t>991000607289702656</t>
        </is>
      </c>
      <c r="AY1022" t="inlineStr">
        <is>
          <t>2269172990002656</t>
        </is>
      </c>
      <c r="AZ1022" t="inlineStr">
        <is>
          <t>BOOK</t>
        </is>
      </c>
      <c r="BC1022" t="inlineStr">
        <is>
          <t>32285001964831</t>
        </is>
      </c>
      <c r="BD1022" t="inlineStr">
        <is>
          <t>893444395</t>
        </is>
      </c>
    </row>
    <row r="1023">
      <c r="A1023" t="inlineStr">
        <is>
          <t>No</t>
        </is>
      </c>
      <c r="B1023" t="inlineStr">
        <is>
          <t>QD461 .L25</t>
        </is>
      </c>
      <c r="C1023" t="inlineStr">
        <is>
          <t>0                      QD 0461000L  25</t>
        </is>
      </c>
      <c r="D1023" t="inlineStr">
        <is>
          <t>The structure of atoms [by] J. J. Lagowski.</t>
        </is>
      </c>
      <c r="F1023" t="inlineStr">
        <is>
          <t>No</t>
        </is>
      </c>
      <c r="G1023" t="inlineStr">
        <is>
          <t>1</t>
        </is>
      </c>
      <c r="H1023" t="inlineStr">
        <is>
          <t>No</t>
        </is>
      </c>
      <c r="I1023" t="inlineStr">
        <is>
          <t>No</t>
        </is>
      </c>
      <c r="J1023" t="inlineStr">
        <is>
          <t>0</t>
        </is>
      </c>
      <c r="K1023" t="inlineStr">
        <is>
          <t>Lagowski, J. J.</t>
        </is>
      </c>
      <c r="L1023" t="inlineStr">
        <is>
          <t>Boston, Houghton Mifflin Co. [1964]</t>
        </is>
      </c>
      <c r="M1023" t="inlineStr">
        <is>
          <t>1964</t>
        </is>
      </c>
      <c r="O1023" t="inlineStr">
        <is>
          <t>eng</t>
        </is>
      </c>
      <c r="P1023" t="inlineStr">
        <is>
          <t>mau</t>
        </is>
      </c>
      <c r="Q1023" t="inlineStr">
        <is>
          <t>Classic researches in general chemistry ; G-1</t>
        </is>
      </c>
      <c r="R1023" t="inlineStr">
        <is>
          <t xml:space="preserve">QD </t>
        </is>
      </c>
      <c r="S1023" t="n">
        <v>4</v>
      </c>
      <c r="T1023" t="n">
        <v>4</v>
      </c>
      <c r="U1023" t="inlineStr">
        <is>
          <t>1998-03-30</t>
        </is>
      </c>
      <c r="V1023" t="inlineStr">
        <is>
          <t>1998-03-30</t>
        </is>
      </c>
      <c r="W1023" t="inlineStr">
        <is>
          <t>1997-06-12</t>
        </is>
      </c>
      <c r="X1023" t="inlineStr">
        <is>
          <t>1997-06-12</t>
        </is>
      </c>
      <c r="Y1023" t="n">
        <v>510</v>
      </c>
      <c r="Z1023" t="n">
        <v>450</v>
      </c>
      <c r="AA1023" t="n">
        <v>451</v>
      </c>
      <c r="AB1023" t="n">
        <v>3</v>
      </c>
      <c r="AC1023" t="n">
        <v>3</v>
      </c>
      <c r="AD1023" t="n">
        <v>14</v>
      </c>
      <c r="AE1023" t="n">
        <v>14</v>
      </c>
      <c r="AF1023" t="n">
        <v>5</v>
      </c>
      <c r="AG1023" t="n">
        <v>5</v>
      </c>
      <c r="AH1023" t="n">
        <v>3</v>
      </c>
      <c r="AI1023" t="n">
        <v>3</v>
      </c>
      <c r="AJ1023" t="n">
        <v>8</v>
      </c>
      <c r="AK1023" t="n">
        <v>8</v>
      </c>
      <c r="AL1023" t="n">
        <v>2</v>
      </c>
      <c r="AM1023" t="n">
        <v>2</v>
      </c>
      <c r="AN1023" t="n">
        <v>0</v>
      </c>
      <c r="AO1023" t="n">
        <v>0</v>
      </c>
      <c r="AP1023" t="inlineStr">
        <is>
          <t>No</t>
        </is>
      </c>
      <c r="AQ1023" t="inlineStr">
        <is>
          <t>Yes</t>
        </is>
      </c>
      <c r="AR1023">
        <f>HYPERLINK("http://catalog.hathitrust.org/Record/001034426","HathiTrust Record")</f>
        <v/>
      </c>
      <c r="AS1023">
        <f>HYPERLINK("https://creighton-primo.hosted.exlibrisgroup.com/primo-explore/search?tab=default_tab&amp;search_scope=EVERYTHING&amp;vid=01CRU&amp;lang=en_US&amp;offset=0&amp;query=any,contains,991002965669702656","Catalog Record")</f>
        <v/>
      </c>
      <c r="AT1023">
        <f>HYPERLINK("http://www.worldcat.org/oclc/545716","WorldCat Record")</f>
        <v/>
      </c>
      <c r="AU1023" t="inlineStr">
        <is>
          <t>1577668:eng</t>
        </is>
      </c>
      <c r="AV1023" t="inlineStr">
        <is>
          <t>545716</t>
        </is>
      </c>
      <c r="AW1023" t="inlineStr">
        <is>
          <t>991002965669702656</t>
        </is>
      </c>
      <c r="AX1023" t="inlineStr">
        <is>
          <t>991002965669702656</t>
        </is>
      </c>
      <c r="AY1023" t="inlineStr">
        <is>
          <t>2264616910002656</t>
        </is>
      </c>
      <c r="AZ1023" t="inlineStr">
        <is>
          <t>BOOK</t>
        </is>
      </c>
      <c r="BC1023" t="inlineStr">
        <is>
          <t>32285002806072</t>
        </is>
      </c>
      <c r="BD1023" t="inlineStr">
        <is>
          <t>893245875</t>
        </is>
      </c>
    </row>
    <row r="1024">
      <c r="A1024" t="inlineStr">
        <is>
          <t>No</t>
        </is>
      </c>
      <c r="B1024" t="inlineStr">
        <is>
          <t>QD461 .L78 1964</t>
        </is>
      </c>
      <c r="C1024" t="inlineStr">
        <is>
          <t>0                      QD 0461000L  78          1964</t>
        </is>
      </c>
      <c r="D1024" t="inlineStr">
        <is>
          <t>Molecular orbitals in chemistry, physics, and biology : tribute to R.S. Mulliken / edited by Per-Olov Löwdin [and] Bernard Pullman.</t>
        </is>
      </c>
      <c r="F1024" t="inlineStr">
        <is>
          <t>No</t>
        </is>
      </c>
      <c r="G1024" t="inlineStr">
        <is>
          <t>1</t>
        </is>
      </c>
      <c r="H1024" t="inlineStr">
        <is>
          <t>No</t>
        </is>
      </c>
      <c r="I1024" t="inlineStr">
        <is>
          <t>No</t>
        </is>
      </c>
      <c r="J1024" t="inlineStr">
        <is>
          <t>0</t>
        </is>
      </c>
      <c r="K1024" t="inlineStr">
        <is>
          <t>Löwdin, Per-Olov, 1916-2000, editor.</t>
        </is>
      </c>
      <c r="L1024" t="inlineStr">
        <is>
          <t>New York : Academic Press, 1964.</t>
        </is>
      </c>
      <c r="M1024" t="inlineStr">
        <is>
          <t>1964</t>
        </is>
      </c>
      <c r="O1024" t="inlineStr">
        <is>
          <t>eng</t>
        </is>
      </c>
      <c r="P1024" t="inlineStr">
        <is>
          <t>nyu</t>
        </is>
      </c>
      <c r="R1024" t="inlineStr">
        <is>
          <t xml:space="preserve">QD </t>
        </is>
      </c>
      <c r="S1024" t="n">
        <v>2</v>
      </c>
      <c r="T1024" t="n">
        <v>2</v>
      </c>
      <c r="U1024" t="inlineStr">
        <is>
          <t>1995-09-18</t>
        </is>
      </c>
      <c r="V1024" t="inlineStr">
        <is>
          <t>1995-09-18</t>
        </is>
      </c>
      <c r="W1024" t="inlineStr">
        <is>
          <t>1994-12-01</t>
        </is>
      </c>
      <c r="X1024" t="inlineStr">
        <is>
          <t>1994-12-01</t>
        </is>
      </c>
      <c r="Y1024" t="n">
        <v>456</v>
      </c>
      <c r="Z1024" t="n">
        <v>344</v>
      </c>
      <c r="AA1024" t="n">
        <v>367</v>
      </c>
      <c r="AB1024" t="n">
        <v>3</v>
      </c>
      <c r="AC1024" t="n">
        <v>3</v>
      </c>
      <c r="AD1024" t="n">
        <v>19</v>
      </c>
      <c r="AE1024" t="n">
        <v>21</v>
      </c>
      <c r="AF1024" t="n">
        <v>5</v>
      </c>
      <c r="AG1024" t="n">
        <v>6</v>
      </c>
      <c r="AH1024" t="n">
        <v>3</v>
      </c>
      <c r="AI1024" t="n">
        <v>4</v>
      </c>
      <c r="AJ1024" t="n">
        <v>12</v>
      </c>
      <c r="AK1024" t="n">
        <v>14</v>
      </c>
      <c r="AL1024" t="n">
        <v>2</v>
      </c>
      <c r="AM1024" t="n">
        <v>2</v>
      </c>
      <c r="AN1024" t="n">
        <v>0</v>
      </c>
      <c r="AO1024" t="n">
        <v>0</v>
      </c>
      <c r="AP1024" t="inlineStr">
        <is>
          <t>No</t>
        </is>
      </c>
      <c r="AQ1024" t="inlineStr">
        <is>
          <t>Yes</t>
        </is>
      </c>
      <c r="AR1024">
        <f>HYPERLINK("http://catalog.hathitrust.org/Record/001113986","HathiTrust Record")</f>
        <v/>
      </c>
      <c r="AS1024">
        <f>HYPERLINK("https://creighton-primo.hosted.exlibrisgroup.com/primo-explore/search?tab=default_tab&amp;search_scope=EVERYTHING&amp;vid=01CRU&amp;lang=en_US&amp;offset=0&amp;query=any,contains,991002958139702656","Catalog Record")</f>
        <v/>
      </c>
      <c r="AT1024">
        <f>HYPERLINK("http://www.worldcat.org/oclc/542965","WorldCat Record")</f>
        <v/>
      </c>
      <c r="AU1024" t="inlineStr">
        <is>
          <t>309570508:eng</t>
        </is>
      </c>
      <c r="AV1024" t="inlineStr">
        <is>
          <t>542965</t>
        </is>
      </c>
      <c r="AW1024" t="inlineStr">
        <is>
          <t>991002958139702656</t>
        </is>
      </c>
      <c r="AX1024" t="inlineStr">
        <is>
          <t>991002958139702656</t>
        </is>
      </c>
      <c r="AY1024" t="inlineStr">
        <is>
          <t>2266696890002656</t>
        </is>
      </c>
      <c r="AZ1024" t="inlineStr">
        <is>
          <t>BOOK</t>
        </is>
      </c>
      <c r="BC1024" t="inlineStr">
        <is>
          <t>32285001969244</t>
        </is>
      </c>
      <c r="BD1024" t="inlineStr">
        <is>
          <t>893498768</t>
        </is>
      </c>
    </row>
    <row r="1025">
      <c r="A1025" t="inlineStr">
        <is>
          <t>No</t>
        </is>
      </c>
      <c r="B1025" t="inlineStr">
        <is>
          <t>QD461 .M5967 1995</t>
        </is>
      </c>
      <c r="C1025" t="inlineStr">
        <is>
          <t>0                      QD 0461000M  5967        1995</t>
        </is>
      </c>
      <c r="D1025" t="inlineStr">
        <is>
          <t>Modern electronic structure theory / editor, David R. Yarkony.</t>
        </is>
      </c>
      <c r="F1025" t="inlineStr">
        <is>
          <t>Yes</t>
        </is>
      </c>
      <c r="G1025" t="inlineStr">
        <is>
          <t>1</t>
        </is>
      </c>
      <c r="H1025" t="inlineStr">
        <is>
          <t>No</t>
        </is>
      </c>
      <c r="I1025" t="inlineStr">
        <is>
          <t>No</t>
        </is>
      </c>
      <c r="J1025" t="inlineStr">
        <is>
          <t>0</t>
        </is>
      </c>
      <c r="L1025" t="inlineStr">
        <is>
          <t>Singapore ; River Edge, NJ : World Scientific, c1995.</t>
        </is>
      </c>
      <c r="M1025" t="inlineStr">
        <is>
          <t>1995</t>
        </is>
      </c>
      <c r="O1025" t="inlineStr">
        <is>
          <t>eng</t>
        </is>
      </c>
      <c r="P1025" t="inlineStr">
        <is>
          <t xml:space="preserve">si </t>
        </is>
      </c>
      <c r="Q1025" t="inlineStr">
        <is>
          <t>Advanced series in physical chemistry ; vol. 2</t>
        </is>
      </c>
      <c r="R1025" t="inlineStr">
        <is>
          <t xml:space="preserve">QD </t>
        </is>
      </c>
      <c r="S1025" t="n">
        <v>4</v>
      </c>
      <c r="T1025" t="n">
        <v>4</v>
      </c>
      <c r="U1025" t="inlineStr">
        <is>
          <t>1998-05-05</t>
        </is>
      </c>
      <c r="V1025" t="inlineStr">
        <is>
          <t>1998-05-05</t>
        </is>
      </c>
      <c r="W1025" t="inlineStr">
        <is>
          <t>1997-08-21</t>
        </is>
      </c>
      <c r="X1025" t="inlineStr">
        <is>
          <t>1997-08-21</t>
        </is>
      </c>
      <c r="Y1025" t="n">
        <v>175</v>
      </c>
      <c r="Z1025" t="n">
        <v>112</v>
      </c>
      <c r="AA1025" t="n">
        <v>682</v>
      </c>
      <c r="AB1025" t="n">
        <v>2</v>
      </c>
      <c r="AC1025" t="n">
        <v>14</v>
      </c>
      <c r="AD1025" t="n">
        <v>6</v>
      </c>
      <c r="AE1025" t="n">
        <v>31</v>
      </c>
      <c r="AF1025" t="n">
        <v>1</v>
      </c>
      <c r="AG1025" t="n">
        <v>8</v>
      </c>
      <c r="AH1025" t="n">
        <v>2</v>
      </c>
      <c r="AI1025" t="n">
        <v>6</v>
      </c>
      <c r="AJ1025" t="n">
        <v>4</v>
      </c>
      <c r="AK1025" t="n">
        <v>9</v>
      </c>
      <c r="AL1025" t="n">
        <v>1</v>
      </c>
      <c r="AM1025" t="n">
        <v>12</v>
      </c>
      <c r="AN1025" t="n">
        <v>0</v>
      </c>
      <c r="AO1025" t="n">
        <v>1</v>
      </c>
      <c r="AP1025" t="inlineStr">
        <is>
          <t>No</t>
        </is>
      </c>
      <c r="AQ1025" t="inlineStr">
        <is>
          <t>No</t>
        </is>
      </c>
      <c r="AS1025">
        <f>HYPERLINK("https://creighton-primo.hosted.exlibrisgroup.com/primo-explore/search?tab=default_tab&amp;search_scope=EVERYTHING&amp;vid=01CRU&amp;lang=en_US&amp;offset=0&amp;query=any,contains,991002426759702656","Catalog Record")</f>
        <v/>
      </c>
      <c r="AT1025">
        <f>HYPERLINK("http://www.worldcat.org/oclc/31608865","WorldCat Record")</f>
        <v/>
      </c>
      <c r="AU1025" t="inlineStr">
        <is>
          <t>3772452299:eng</t>
        </is>
      </c>
      <c r="AV1025" t="inlineStr">
        <is>
          <t>31608865</t>
        </is>
      </c>
      <c r="AW1025" t="inlineStr">
        <is>
          <t>991002426759702656</t>
        </is>
      </c>
      <c r="AX1025" t="inlineStr">
        <is>
          <t>991002426759702656</t>
        </is>
      </c>
      <c r="AY1025" t="inlineStr">
        <is>
          <t>2266329960002656</t>
        </is>
      </c>
      <c r="AZ1025" t="inlineStr">
        <is>
          <t>BOOK</t>
        </is>
      </c>
      <c r="BB1025" t="inlineStr">
        <is>
          <t>9789810213183</t>
        </is>
      </c>
      <c r="BC1025" t="inlineStr">
        <is>
          <t>32285003001145</t>
        </is>
      </c>
      <c r="BD1025" t="inlineStr">
        <is>
          <t>893792451</t>
        </is>
      </c>
    </row>
    <row r="1026">
      <c r="A1026" t="inlineStr">
        <is>
          <t>No</t>
        </is>
      </c>
      <c r="B1026" t="inlineStr">
        <is>
          <t>QD461 .P53</t>
        </is>
      </c>
      <c r="C1026" t="inlineStr">
        <is>
          <t>0                      QD 0461000P  53</t>
        </is>
      </c>
      <c r="D1026" t="inlineStr">
        <is>
          <t>Elementary quantum chemistry [by] Frank L. Pilar.</t>
        </is>
      </c>
      <c r="F1026" t="inlineStr">
        <is>
          <t>No</t>
        </is>
      </c>
      <c r="G1026" t="inlineStr">
        <is>
          <t>1</t>
        </is>
      </c>
      <c r="H1026" t="inlineStr">
        <is>
          <t>No</t>
        </is>
      </c>
      <c r="I1026" t="inlineStr">
        <is>
          <t>No</t>
        </is>
      </c>
      <c r="J1026" t="inlineStr">
        <is>
          <t>0</t>
        </is>
      </c>
      <c r="K1026" t="inlineStr">
        <is>
          <t>Pilar, Frank L.</t>
        </is>
      </c>
      <c r="L1026" t="inlineStr">
        <is>
          <t>New York, McGraw-Hill [1968]</t>
        </is>
      </c>
      <c r="M1026" t="inlineStr">
        <is>
          <t>1968</t>
        </is>
      </c>
      <c r="O1026" t="inlineStr">
        <is>
          <t>eng</t>
        </is>
      </c>
      <c r="P1026" t="inlineStr">
        <is>
          <t>nyu</t>
        </is>
      </c>
      <c r="R1026" t="inlineStr">
        <is>
          <t xml:space="preserve">QD </t>
        </is>
      </c>
      <c r="S1026" t="n">
        <v>2</v>
      </c>
      <c r="T1026" t="n">
        <v>2</v>
      </c>
      <c r="U1026" t="inlineStr">
        <is>
          <t>2009-04-30</t>
        </is>
      </c>
      <c r="V1026" t="inlineStr">
        <is>
          <t>2009-04-30</t>
        </is>
      </c>
      <c r="W1026" t="inlineStr">
        <is>
          <t>1997-06-12</t>
        </is>
      </c>
      <c r="X1026" t="inlineStr">
        <is>
          <t>1997-06-12</t>
        </is>
      </c>
      <c r="Y1026" t="n">
        <v>527</v>
      </c>
      <c r="Z1026" t="n">
        <v>397</v>
      </c>
      <c r="AA1026" t="n">
        <v>584</v>
      </c>
      <c r="AB1026" t="n">
        <v>5</v>
      </c>
      <c r="AC1026" t="n">
        <v>6</v>
      </c>
      <c r="AD1026" t="n">
        <v>15</v>
      </c>
      <c r="AE1026" t="n">
        <v>22</v>
      </c>
      <c r="AF1026" t="n">
        <v>6</v>
      </c>
      <c r="AG1026" t="n">
        <v>9</v>
      </c>
      <c r="AH1026" t="n">
        <v>2</v>
      </c>
      <c r="AI1026" t="n">
        <v>4</v>
      </c>
      <c r="AJ1026" t="n">
        <v>9</v>
      </c>
      <c r="AK1026" t="n">
        <v>11</v>
      </c>
      <c r="AL1026" t="n">
        <v>4</v>
      </c>
      <c r="AM1026" t="n">
        <v>5</v>
      </c>
      <c r="AN1026" t="n">
        <v>0</v>
      </c>
      <c r="AO1026" t="n">
        <v>0</v>
      </c>
      <c r="AP1026" t="inlineStr">
        <is>
          <t>No</t>
        </is>
      </c>
      <c r="AQ1026" t="inlineStr">
        <is>
          <t>Yes</t>
        </is>
      </c>
      <c r="AR1026">
        <f>HYPERLINK("http://catalog.hathitrust.org/Record/003266240","HathiTrust Record")</f>
        <v/>
      </c>
      <c r="AS1026">
        <f>HYPERLINK("https://creighton-primo.hosted.exlibrisgroup.com/primo-explore/search?tab=default_tab&amp;search_scope=EVERYTHING&amp;vid=01CRU&amp;lang=en_US&amp;offset=0&amp;query=any,contains,991002770569702656","Catalog Record")</f>
        <v/>
      </c>
      <c r="AT1026">
        <f>HYPERLINK("http://www.worldcat.org/oclc/436749","WorldCat Record")</f>
        <v/>
      </c>
      <c r="AU1026" t="inlineStr">
        <is>
          <t>1556501:eng</t>
        </is>
      </c>
      <c r="AV1026" t="inlineStr">
        <is>
          <t>436749</t>
        </is>
      </c>
      <c r="AW1026" t="inlineStr">
        <is>
          <t>991002770569702656</t>
        </is>
      </c>
      <c r="AX1026" t="inlineStr">
        <is>
          <t>991002770569702656</t>
        </is>
      </c>
      <c r="AY1026" t="inlineStr">
        <is>
          <t>2270901900002656</t>
        </is>
      </c>
      <c r="AZ1026" t="inlineStr">
        <is>
          <t>BOOK</t>
        </is>
      </c>
      <c r="BC1026" t="inlineStr">
        <is>
          <t>32285002806163</t>
        </is>
      </c>
      <c r="BD1026" t="inlineStr">
        <is>
          <t>893517721</t>
        </is>
      </c>
    </row>
    <row r="1027">
      <c r="A1027" t="inlineStr">
        <is>
          <t>No</t>
        </is>
      </c>
      <c r="B1027" t="inlineStr">
        <is>
          <t>QD461 .P64</t>
        </is>
      </c>
      <c r="C1027" t="inlineStr">
        <is>
          <t>0                      QD 0461000P  64</t>
        </is>
      </c>
      <c r="D1027" t="inlineStr">
        <is>
          <t>Polyatomic molecules : results of ab initio calculations / Robert S. Mulliken, Walter C. Ermler.</t>
        </is>
      </c>
      <c r="F1027" t="inlineStr">
        <is>
          <t>No</t>
        </is>
      </c>
      <c r="G1027" t="inlineStr">
        <is>
          <t>1</t>
        </is>
      </c>
      <c r="H1027" t="inlineStr">
        <is>
          <t>No</t>
        </is>
      </c>
      <c r="I1027" t="inlineStr">
        <is>
          <t>No</t>
        </is>
      </c>
      <c r="J1027" t="inlineStr">
        <is>
          <t>0</t>
        </is>
      </c>
      <c r="K1027" t="inlineStr">
        <is>
          <t>Mulliken, Robert Sanderson.</t>
        </is>
      </c>
      <c r="L1027" t="inlineStr">
        <is>
          <t>New York : Academic Press, 1981.</t>
        </is>
      </c>
      <c r="M1027" t="inlineStr">
        <is>
          <t>1981</t>
        </is>
      </c>
      <c r="O1027" t="inlineStr">
        <is>
          <t>eng</t>
        </is>
      </c>
      <c r="P1027" t="inlineStr">
        <is>
          <t>nyu</t>
        </is>
      </c>
      <c r="R1027" t="inlineStr">
        <is>
          <t xml:space="preserve">QD </t>
        </is>
      </c>
      <c r="S1027" t="n">
        <v>2</v>
      </c>
      <c r="T1027" t="n">
        <v>2</v>
      </c>
      <c r="U1027" t="inlineStr">
        <is>
          <t>1993-09-22</t>
        </is>
      </c>
      <c r="V1027" t="inlineStr">
        <is>
          <t>1993-09-22</t>
        </is>
      </c>
      <c r="W1027" t="inlineStr">
        <is>
          <t>1993-02-03</t>
        </is>
      </c>
      <c r="X1027" t="inlineStr">
        <is>
          <t>1993-02-03</t>
        </is>
      </c>
      <c r="Y1027" t="n">
        <v>330</v>
      </c>
      <c r="Z1027" t="n">
        <v>235</v>
      </c>
      <c r="AA1027" t="n">
        <v>275</v>
      </c>
      <c r="AB1027" t="n">
        <v>2</v>
      </c>
      <c r="AC1027" t="n">
        <v>3</v>
      </c>
      <c r="AD1027" t="n">
        <v>9</v>
      </c>
      <c r="AE1027" t="n">
        <v>13</v>
      </c>
      <c r="AF1027" t="n">
        <v>2</v>
      </c>
      <c r="AG1027" t="n">
        <v>4</v>
      </c>
      <c r="AH1027" t="n">
        <v>3</v>
      </c>
      <c r="AI1027" t="n">
        <v>5</v>
      </c>
      <c r="AJ1027" t="n">
        <v>6</v>
      </c>
      <c r="AK1027" t="n">
        <v>6</v>
      </c>
      <c r="AL1027" t="n">
        <v>1</v>
      </c>
      <c r="AM1027" t="n">
        <v>2</v>
      </c>
      <c r="AN1027" t="n">
        <v>0</v>
      </c>
      <c r="AO1027" t="n">
        <v>0</v>
      </c>
      <c r="AP1027" t="inlineStr">
        <is>
          <t>No</t>
        </is>
      </c>
      <c r="AQ1027" t="inlineStr">
        <is>
          <t>Yes</t>
        </is>
      </c>
      <c r="AR1027">
        <f>HYPERLINK("http://catalog.hathitrust.org/Record/000183985","HathiTrust Record")</f>
        <v/>
      </c>
      <c r="AS1027">
        <f>HYPERLINK("https://creighton-primo.hosted.exlibrisgroup.com/primo-explore/search?tab=default_tab&amp;search_scope=EVERYTHING&amp;vid=01CRU&amp;lang=en_US&amp;offset=0&amp;query=any,contains,991005132329702656","Catalog Record")</f>
        <v/>
      </c>
      <c r="AT1027">
        <f>HYPERLINK("http://www.worldcat.org/oclc/7573543","WorldCat Record")</f>
        <v/>
      </c>
      <c r="AU1027" t="inlineStr">
        <is>
          <t>146993252:eng</t>
        </is>
      </c>
      <c r="AV1027" t="inlineStr">
        <is>
          <t>7573543</t>
        </is>
      </c>
      <c r="AW1027" t="inlineStr">
        <is>
          <t>991005132329702656</t>
        </is>
      </c>
      <c r="AX1027" t="inlineStr">
        <is>
          <t>991005132329702656</t>
        </is>
      </c>
      <c r="AY1027" t="inlineStr">
        <is>
          <t>2271475470002656</t>
        </is>
      </c>
      <c r="AZ1027" t="inlineStr">
        <is>
          <t>BOOK</t>
        </is>
      </c>
      <c r="BB1027" t="inlineStr">
        <is>
          <t>9780125098601</t>
        </is>
      </c>
      <c r="BC1027" t="inlineStr">
        <is>
          <t>32285001516664</t>
        </is>
      </c>
      <c r="BD1027" t="inlineStr">
        <is>
          <t>893870570</t>
        </is>
      </c>
    </row>
    <row r="1028">
      <c r="A1028" t="inlineStr">
        <is>
          <t>No</t>
        </is>
      </c>
      <c r="B1028" t="inlineStr">
        <is>
          <t>QD461 .R26 1997</t>
        </is>
      </c>
      <c r="C1028" t="inlineStr">
        <is>
          <t>0                      QD 0461000R  26          1997</t>
        </is>
      </c>
      <c r="D1028" t="inlineStr">
        <is>
          <t>Molecular mechanics across chemistry / Anthony K. Rappé and Carla J. Casewit.</t>
        </is>
      </c>
      <c r="F1028" t="inlineStr">
        <is>
          <t>No</t>
        </is>
      </c>
      <c r="G1028" t="inlineStr">
        <is>
          <t>1</t>
        </is>
      </c>
      <c r="H1028" t="inlineStr">
        <is>
          <t>No</t>
        </is>
      </c>
      <c r="I1028" t="inlineStr">
        <is>
          <t>No</t>
        </is>
      </c>
      <c r="J1028" t="inlineStr">
        <is>
          <t>0</t>
        </is>
      </c>
      <c r="K1028" t="inlineStr">
        <is>
          <t>Rappé, Anthony K., 1952-</t>
        </is>
      </c>
      <c r="L1028" t="inlineStr">
        <is>
          <t>Sausalito, Calif. : University Science Books, c1997.</t>
        </is>
      </c>
      <c r="M1028" t="inlineStr">
        <is>
          <t>1997</t>
        </is>
      </c>
      <c r="O1028" t="inlineStr">
        <is>
          <t>eng</t>
        </is>
      </c>
      <c r="P1028" t="inlineStr">
        <is>
          <t>cau</t>
        </is>
      </c>
      <c r="R1028" t="inlineStr">
        <is>
          <t xml:space="preserve">QD </t>
        </is>
      </c>
      <c r="S1028" t="n">
        <v>2</v>
      </c>
      <c r="T1028" t="n">
        <v>2</v>
      </c>
      <c r="U1028" t="inlineStr">
        <is>
          <t>2002-05-29</t>
        </is>
      </c>
      <c r="V1028" t="inlineStr">
        <is>
          <t>2002-05-29</t>
        </is>
      </c>
      <c r="W1028" t="inlineStr">
        <is>
          <t>1999-09-02</t>
        </is>
      </c>
      <c r="X1028" t="inlineStr">
        <is>
          <t>1999-09-02</t>
        </is>
      </c>
      <c r="Y1028" t="n">
        <v>380</v>
      </c>
      <c r="Z1028" t="n">
        <v>301</v>
      </c>
      <c r="AA1028" t="n">
        <v>307</v>
      </c>
      <c r="AB1028" t="n">
        <v>3</v>
      </c>
      <c r="AC1028" t="n">
        <v>3</v>
      </c>
      <c r="AD1028" t="n">
        <v>14</v>
      </c>
      <c r="AE1028" t="n">
        <v>14</v>
      </c>
      <c r="AF1028" t="n">
        <v>5</v>
      </c>
      <c r="AG1028" t="n">
        <v>5</v>
      </c>
      <c r="AH1028" t="n">
        <v>3</v>
      </c>
      <c r="AI1028" t="n">
        <v>3</v>
      </c>
      <c r="AJ1028" t="n">
        <v>8</v>
      </c>
      <c r="AK1028" t="n">
        <v>8</v>
      </c>
      <c r="AL1028" t="n">
        <v>2</v>
      </c>
      <c r="AM1028" t="n">
        <v>2</v>
      </c>
      <c r="AN1028" t="n">
        <v>0</v>
      </c>
      <c r="AO1028" t="n">
        <v>0</v>
      </c>
      <c r="AP1028" t="inlineStr">
        <is>
          <t>No</t>
        </is>
      </c>
      <c r="AQ1028" t="inlineStr">
        <is>
          <t>No</t>
        </is>
      </c>
      <c r="AS1028">
        <f>HYPERLINK("https://creighton-primo.hosted.exlibrisgroup.com/primo-explore/search?tab=default_tab&amp;search_scope=EVERYTHING&amp;vid=01CRU&amp;lang=en_US&amp;offset=0&amp;query=any,contains,991002626019702656","Catalog Record")</f>
        <v/>
      </c>
      <c r="AT1028">
        <f>HYPERLINK("http://www.worldcat.org/oclc/34412499","WorldCat Record")</f>
        <v/>
      </c>
      <c r="AU1028" t="inlineStr">
        <is>
          <t>39420291:eng</t>
        </is>
      </c>
      <c r="AV1028" t="inlineStr">
        <is>
          <t>34412499</t>
        </is>
      </c>
      <c r="AW1028" t="inlineStr">
        <is>
          <t>991002626019702656</t>
        </is>
      </c>
      <c r="AX1028" t="inlineStr">
        <is>
          <t>991002626019702656</t>
        </is>
      </c>
      <c r="AY1028" t="inlineStr">
        <is>
          <t>2260551760002656</t>
        </is>
      </c>
      <c r="AZ1028" t="inlineStr">
        <is>
          <t>BOOK</t>
        </is>
      </c>
      <c r="BB1028" t="inlineStr">
        <is>
          <t>9780935702774</t>
        </is>
      </c>
      <c r="BC1028" t="inlineStr">
        <is>
          <t>32285003586285</t>
        </is>
      </c>
      <c r="BD1028" t="inlineStr">
        <is>
          <t>893786348</t>
        </is>
      </c>
    </row>
    <row r="1029">
      <c r="A1029" t="inlineStr">
        <is>
          <t>No</t>
        </is>
      </c>
      <c r="B1029" t="inlineStr">
        <is>
          <t>QD461 .S4413 2004</t>
        </is>
      </c>
      <c r="C1029" t="inlineStr">
        <is>
          <t>0                      QD 0461000S  4413        2004</t>
        </is>
      </c>
      <c r="D1029" t="inlineStr">
        <is>
          <t>The chemical bond : a fundamental quantum-mechanical picture / Tadamasa Shida.</t>
        </is>
      </c>
      <c r="F1029" t="inlineStr">
        <is>
          <t>No</t>
        </is>
      </c>
      <c r="G1029" t="inlineStr">
        <is>
          <t>1</t>
        </is>
      </c>
      <c r="H1029" t="inlineStr">
        <is>
          <t>No</t>
        </is>
      </c>
      <c r="I1029" t="inlineStr">
        <is>
          <t>No</t>
        </is>
      </c>
      <c r="J1029" t="inlineStr">
        <is>
          <t>0</t>
        </is>
      </c>
      <c r="K1029" t="inlineStr">
        <is>
          <t>Shida, Tadamasa, 1935-</t>
        </is>
      </c>
      <c r="L1029" t="inlineStr">
        <is>
          <t>Berlin ; New York : Springer, c2004.</t>
        </is>
      </c>
      <c r="M1029" t="inlineStr">
        <is>
          <t>2004</t>
        </is>
      </c>
      <c r="O1029" t="inlineStr">
        <is>
          <t>eng</t>
        </is>
      </c>
      <c r="P1029" t="inlineStr">
        <is>
          <t>nyu</t>
        </is>
      </c>
      <c r="Q1029" t="inlineStr">
        <is>
          <t>Springer series in chemical physics, 0172-6218 ; 76</t>
        </is>
      </c>
      <c r="R1029" t="inlineStr">
        <is>
          <t xml:space="preserve">QD </t>
        </is>
      </c>
      <c r="S1029" t="n">
        <v>1</v>
      </c>
      <c r="T1029" t="n">
        <v>1</v>
      </c>
      <c r="U1029" t="inlineStr">
        <is>
          <t>2004-09-30</t>
        </is>
      </c>
      <c r="V1029" t="inlineStr">
        <is>
          <t>2004-09-30</t>
        </is>
      </c>
      <c r="W1029" t="inlineStr">
        <is>
          <t>2004-09-29</t>
        </is>
      </c>
      <c r="X1029" t="inlineStr">
        <is>
          <t>2004-09-29</t>
        </is>
      </c>
      <c r="Y1029" t="n">
        <v>186</v>
      </c>
      <c r="Z1029" t="n">
        <v>128</v>
      </c>
      <c r="AA1029" t="n">
        <v>149</v>
      </c>
      <c r="AB1029" t="n">
        <v>3</v>
      </c>
      <c r="AC1029" t="n">
        <v>3</v>
      </c>
      <c r="AD1029" t="n">
        <v>7</v>
      </c>
      <c r="AE1029" t="n">
        <v>10</v>
      </c>
      <c r="AF1029" t="n">
        <v>0</v>
      </c>
      <c r="AG1029" t="n">
        <v>2</v>
      </c>
      <c r="AH1029" t="n">
        <v>3</v>
      </c>
      <c r="AI1029" t="n">
        <v>4</v>
      </c>
      <c r="AJ1029" t="n">
        <v>4</v>
      </c>
      <c r="AK1029" t="n">
        <v>6</v>
      </c>
      <c r="AL1029" t="n">
        <v>2</v>
      </c>
      <c r="AM1029" t="n">
        <v>2</v>
      </c>
      <c r="AN1029" t="n">
        <v>0</v>
      </c>
      <c r="AO1029" t="n">
        <v>0</v>
      </c>
      <c r="AP1029" t="inlineStr">
        <is>
          <t>No</t>
        </is>
      </c>
      <c r="AQ1029" t="inlineStr">
        <is>
          <t>No</t>
        </is>
      </c>
      <c r="AS1029">
        <f>HYPERLINK("https://creighton-primo.hosted.exlibrisgroup.com/primo-explore/search?tab=default_tab&amp;search_scope=EVERYTHING&amp;vid=01CRU&amp;lang=en_US&amp;offset=0&amp;query=any,contains,991004361109702656","Catalog Record")</f>
        <v/>
      </c>
      <c r="AT1029">
        <f>HYPERLINK("http://www.worldcat.org/oclc/53831068","WorldCat Record")</f>
        <v/>
      </c>
      <c r="AU1029" t="inlineStr">
        <is>
          <t>880035:eng</t>
        </is>
      </c>
      <c r="AV1029" t="inlineStr">
        <is>
          <t>53831068</t>
        </is>
      </c>
      <c r="AW1029" t="inlineStr">
        <is>
          <t>991004361109702656</t>
        </is>
      </c>
      <c r="AX1029" t="inlineStr">
        <is>
          <t>991004361109702656</t>
        </is>
      </c>
      <c r="AY1029" t="inlineStr">
        <is>
          <t>2254795810002656</t>
        </is>
      </c>
      <c r="AZ1029" t="inlineStr">
        <is>
          <t>BOOK</t>
        </is>
      </c>
      <c r="BB1029" t="inlineStr">
        <is>
          <t>9783540206385</t>
        </is>
      </c>
      <c r="BC1029" t="inlineStr">
        <is>
          <t>32285004989892</t>
        </is>
      </c>
      <c r="BD1029" t="inlineStr">
        <is>
          <t>893349924</t>
        </is>
      </c>
    </row>
    <row r="1030">
      <c r="A1030" t="inlineStr">
        <is>
          <t>No</t>
        </is>
      </c>
      <c r="B1030" t="inlineStr">
        <is>
          <t>QD461 .S468 2008</t>
        </is>
      </c>
      <c r="C1030" t="inlineStr">
        <is>
          <t>0                      QD 0461000S  468         2008</t>
        </is>
      </c>
      <c r="D1030" t="inlineStr">
        <is>
          <t>Organic structure determination using 2-D NMR spectroscopy : a problem-based approach / Jeffrey H. Simpson.</t>
        </is>
      </c>
      <c r="F1030" t="inlineStr">
        <is>
          <t>No</t>
        </is>
      </c>
      <c r="G1030" t="inlineStr">
        <is>
          <t>1</t>
        </is>
      </c>
      <c r="H1030" t="inlineStr">
        <is>
          <t>No</t>
        </is>
      </c>
      <c r="I1030" t="inlineStr">
        <is>
          <t>No</t>
        </is>
      </c>
      <c r="J1030" t="inlineStr">
        <is>
          <t>0</t>
        </is>
      </c>
      <c r="K1030" t="inlineStr">
        <is>
          <t>Simpson, Jeffrey H.</t>
        </is>
      </c>
      <c r="L1030" t="inlineStr">
        <is>
          <t>Amsterdam ; Boston : Academic Press/Elsevier, c2008.</t>
        </is>
      </c>
      <c r="M1030" t="inlineStr">
        <is>
          <t>2008</t>
        </is>
      </c>
      <c r="O1030" t="inlineStr">
        <is>
          <t>eng</t>
        </is>
      </c>
      <c r="P1030" t="inlineStr">
        <is>
          <t xml:space="preserve">ne </t>
        </is>
      </c>
      <c r="R1030" t="inlineStr">
        <is>
          <t xml:space="preserve">QD </t>
        </is>
      </c>
      <c r="S1030" t="n">
        <v>1</v>
      </c>
      <c r="T1030" t="n">
        <v>1</v>
      </c>
      <c r="U1030" t="inlineStr">
        <is>
          <t>2010-02-22</t>
        </is>
      </c>
      <c r="V1030" t="inlineStr">
        <is>
          <t>2010-02-22</t>
        </is>
      </c>
      <c r="W1030" t="inlineStr">
        <is>
          <t>2010-02-22</t>
        </is>
      </c>
      <c r="X1030" t="inlineStr">
        <is>
          <t>2010-02-22</t>
        </is>
      </c>
      <c r="Y1030" t="n">
        <v>381</v>
      </c>
      <c r="Z1030" t="n">
        <v>299</v>
      </c>
      <c r="AA1030" t="n">
        <v>489</v>
      </c>
      <c r="AB1030" t="n">
        <v>4</v>
      </c>
      <c r="AC1030" t="n">
        <v>4</v>
      </c>
      <c r="AD1030" t="n">
        <v>20</v>
      </c>
      <c r="AE1030" t="n">
        <v>24</v>
      </c>
      <c r="AF1030" t="n">
        <v>9</v>
      </c>
      <c r="AG1030" t="n">
        <v>11</v>
      </c>
      <c r="AH1030" t="n">
        <v>2</v>
      </c>
      <c r="AI1030" t="n">
        <v>5</v>
      </c>
      <c r="AJ1030" t="n">
        <v>10</v>
      </c>
      <c r="AK1030" t="n">
        <v>10</v>
      </c>
      <c r="AL1030" t="n">
        <v>3</v>
      </c>
      <c r="AM1030" t="n">
        <v>3</v>
      </c>
      <c r="AN1030" t="n">
        <v>0</v>
      </c>
      <c r="AO1030" t="n">
        <v>0</v>
      </c>
      <c r="AP1030" t="inlineStr">
        <is>
          <t>No</t>
        </is>
      </c>
      <c r="AQ1030" t="inlineStr">
        <is>
          <t>No</t>
        </is>
      </c>
      <c r="AS1030">
        <f>HYPERLINK("https://creighton-primo.hosted.exlibrisgroup.com/primo-explore/search?tab=default_tab&amp;search_scope=EVERYTHING&amp;vid=01CRU&amp;lang=en_US&amp;offset=0&amp;query=any,contains,991005363719702656","Catalog Record")</f>
        <v/>
      </c>
      <c r="AT1030">
        <f>HYPERLINK("http://www.worldcat.org/oclc/213080644","WorldCat Record")</f>
        <v/>
      </c>
      <c r="AU1030" t="inlineStr">
        <is>
          <t>795980755:eng</t>
        </is>
      </c>
      <c r="AV1030" t="inlineStr">
        <is>
          <t>213080644</t>
        </is>
      </c>
      <c r="AW1030" t="inlineStr">
        <is>
          <t>991005363719702656</t>
        </is>
      </c>
      <c r="AX1030" t="inlineStr">
        <is>
          <t>991005363719702656</t>
        </is>
      </c>
      <c r="AY1030" t="inlineStr">
        <is>
          <t>2266471310002656</t>
        </is>
      </c>
      <c r="AZ1030" t="inlineStr">
        <is>
          <t>BOOK</t>
        </is>
      </c>
      <c r="BB1030" t="inlineStr">
        <is>
          <t>9780120885220</t>
        </is>
      </c>
      <c r="BC1030" t="inlineStr">
        <is>
          <t>32285005574610</t>
        </is>
      </c>
      <c r="BD1030" t="inlineStr">
        <is>
          <t>893514577</t>
        </is>
      </c>
    </row>
    <row r="1031">
      <c r="A1031" t="inlineStr">
        <is>
          <t>No</t>
        </is>
      </c>
      <c r="B1031" t="inlineStr">
        <is>
          <t>QD461 .S474</t>
        </is>
      </c>
      <c r="C1031" t="inlineStr">
        <is>
          <t>0                      QD 0461000S  474</t>
        </is>
      </c>
      <c r="D1031" t="inlineStr">
        <is>
          <t>Sigma molecular orbital theory / by Oktay Sinanoğlu and Kenneth B. Wiberg.</t>
        </is>
      </c>
      <c r="F1031" t="inlineStr">
        <is>
          <t>No</t>
        </is>
      </c>
      <c r="G1031" t="inlineStr">
        <is>
          <t>1</t>
        </is>
      </c>
      <c r="H1031" t="inlineStr">
        <is>
          <t>No</t>
        </is>
      </c>
      <c r="I1031" t="inlineStr">
        <is>
          <t>No</t>
        </is>
      </c>
      <c r="J1031" t="inlineStr">
        <is>
          <t>0</t>
        </is>
      </c>
      <c r="K1031" t="inlineStr">
        <is>
          <t>Sinanoğlu, Oktay.</t>
        </is>
      </c>
      <c r="L1031" t="inlineStr">
        <is>
          <t>New Haven : Yale University Press, 1970.</t>
        </is>
      </c>
      <c r="M1031" t="inlineStr">
        <is>
          <t>1970</t>
        </is>
      </c>
      <c r="O1031" t="inlineStr">
        <is>
          <t>eng</t>
        </is>
      </c>
      <c r="P1031" t="inlineStr">
        <is>
          <t>ctu</t>
        </is>
      </c>
      <c r="Q1031" t="inlineStr">
        <is>
          <t>Yale series in the sciences. A Chemistry-physics interface</t>
        </is>
      </c>
      <c r="R1031" t="inlineStr">
        <is>
          <t xml:space="preserve">QD </t>
        </is>
      </c>
      <c r="S1031" t="n">
        <v>4</v>
      </c>
      <c r="T1031" t="n">
        <v>4</v>
      </c>
      <c r="U1031" t="inlineStr">
        <is>
          <t>1995-11-13</t>
        </is>
      </c>
      <c r="V1031" t="inlineStr">
        <is>
          <t>1995-11-13</t>
        </is>
      </c>
      <c r="W1031" t="inlineStr">
        <is>
          <t>1992-10-06</t>
        </is>
      </c>
      <c r="X1031" t="inlineStr">
        <is>
          <t>1992-10-06</t>
        </is>
      </c>
      <c r="Y1031" t="n">
        <v>373</v>
      </c>
      <c r="Z1031" t="n">
        <v>290</v>
      </c>
      <c r="AA1031" t="n">
        <v>290</v>
      </c>
      <c r="AB1031" t="n">
        <v>3</v>
      </c>
      <c r="AC1031" t="n">
        <v>3</v>
      </c>
      <c r="AD1031" t="n">
        <v>15</v>
      </c>
      <c r="AE1031" t="n">
        <v>15</v>
      </c>
      <c r="AF1031" t="n">
        <v>5</v>
      </c>
      <c r="AG1031" t="n">
        <v>5</v>
      </c>
      <c r="AH1031" t="n">
        <v>3</v>
      </c>
      <c r="AI1031" t="n">
        <v>3</v>
      </c>
      <c r="AJ1031" t="n">
        <v>8</v>
      </c>
      <c r="AK1031" t="n">
        <v>8</v>
      </c>
      <c r="AL1031" t="n">
        <v>2</v>
      </c>
      <c r="AM1031" t="n">
        <v>2</v>
      </c>
      <c r="AN1031" t="n">
        <v>0</v>
      </c>
      <c r="AO1031" t="n">
        <v>0</v>
      </c>
      <c r="AP1031" t="inlineStr">
        <is>
          <t>No</t>
        </is>
      </c>
      <c r="AQ1031" t="inlineStr">
        <is>
          <t>No</t>
        </is>
      </c>
      <c r="AS1031">
        <f>HYPERLINK("https://creighton-primo.hosted.exlibrisgroup.com/primo-explore/search?tab=default_tab&amp;search_scope=EVERYTHING&amp;vid=01CRU&amp;lang=en_US&amp;offset=0&amp;query=any,contains,991000510069702656","Catalog Record")</f>
        <v/>
      </c>
      <c r="AT1031">
        <f>HYPERLINK("http://www.worldcat.org/oclc/83318","WorldCat Record")</f>
        <v/>
      </c>
      <c r="AU1031" t="inlineStr">
        <is>
          <t>1271468:eng</t>
        </is>
      </c>
      <c r="AV1031" t="inlineStr">
        <is>
          <t>83318</t>
        </is>
      </c>
      <c r="AW1031" t="inlineStr">
        <is>
          <t>991000510069702656</t>
        </is>
      </c>
      <c r="AX1031" t="inlineStr">
        <is>
          <t>991000510069702656</t>
        </is>
      </c>
      <c r="AY1031" t="inlineStr">
        <is>
          <t>2272378550002656</t>
        </is>
      </c>
      <c r="AZ1031" t="inlineStr">
        <is>
          <t>BOOK</t>
        </is>
      </c>
      <c r="BB1031" t="inlineStr">
        <is>
          <t>9780300011456</t>
        </is>
      </c>
      <c r="BC1031" t="inlineStr">
        <is>
          <t>32285001326619</t>
        </is>
      </c>
      <c r="BD1031" t="inlineStr">
        <is>
          <t>893432026</t>
        </is>
      </c>
    </row>
    <row r="1032">
      <c r="A1032" t="inlineStr">
        <is>
          <t>No</t>
        </is>
      </c>
      <c r="B1032" t="inlineStr">
        <is>
          <t>QD461 .V45 1986</t>
        </is>
      </c>
      <c r="C1032" t="inlineStr">
        <is>
          <t>0                      QD 0461000V  45          1986</t>
        </is>
      </c>
      <c r="D1032" t="inlineStr">
        <is>
          <t>A pictorial approach to molecular bonding / John G. Verkade.</t>
        </is>
      </c>
      <c r="F1032" t="inlineStr">
        <is>
          <t>No</t>
        </is>
      </c>
      <c r="G1032" t="inlineStr">
        <is>
          <t>1</t>
        </is>
      </c>
      <c r="H1032" t="inlineStr">
        <is>
          <t>No</t>
        </is>
      </c>
      <c r="I1032" t="inlineStr">
        <is>
          <t>No</t>
        </is>
      </c>
      <c r="J1032" t="inlineStr">
        <is>
          <t>0</t>
        </is>
      </c>
      <c r="K1032" t="inlineStr">
        <is>
          <t>Verkade, John G., 1935-</t>
        </is>
      </c>
      <c r="L1032" t="inlineStr">
        <is>
          <t>New York : Springer-Verlag, c1986.</t>
        </is>
      </c>
      <c r="M1032" t="inlineStr">
        <is>
          <t>1986</t>
        </is>
      </c>
      <c r="O1032" t="inlineStr">
        <is>
          <t>eng</t>
        </is>
      </c>
      <c r="P1032" t="inlineStr">
        <is>
          <t>nyu</t>
        </is>
      </c>
      <c r="R1032" t="inlineStr">
        <is>
          <t xml:space="preserve">QD </t>
        </is>
      </c>
      <c r="S1032" t="n">
        <v>4</v>
      </c>
      <c r="T1032" t="n">
        <v>4</v>
      </c>
      <c r="U1032" t="inlineStr">
        <is>
          <t>1994-10-06</t>
        </is>
      </c>
      <c r="V1032" t="inlineStr">
        <is>
          <t>1994-10-06</t>
        </is>
      </c>
      <c r="W1032" t="inlineStr">
        <is>
          <t>1990-08-14</t>
        </is>
      </c>
      <c r="X1032" t="inlineStr">
        <is>
          <t>1990-08-14</t>
        </is>
      </c>
      <c r="Y1032" t="n">
        <v>471</v>
      </c>
      <c r="Z1032" t="n">
        <v>402</v>
      </c>
      <c r="AA1032" t="n">
        <v>423</v>
      </c>
      <c r="AB1032" t="n">
        <v>3</v>
      </c>
      <c r="AC1032" t="n">
        <v>4</v>
      </c>
      <c r="AD1032" t="n">
        <v>22</v>
      </c>
      <c r="AE1032" t="n">
        <v>24</v>
      </c>
      <c r="AF1032" t="n">
        <v>9</v>
      </c>
      <c r="AG1032" t="n">
        <v>10</v>
      </c>
      <c r="AH1032" t="n">
        <v>5</v>
      </c>
      <c r="AI1032" t="n">
        <v>5</v>
      </c>
      <c r="AJ1032" t="n">
        <v>9</v>
      </c>
      <c r="AK1032" t="n">
        <v>10</v>
      </c>
      <c r="AL1032" t="n">
        <v>2</v>
      </c>
      <c r="AM1032" t="n">
        <v>3</v>
      </c>
      <c r="AN1032" t="n">
        <v>0</v>
      </c>
      <c r="AO1032" t="n">
        <v>0</v>
      </c>
      <c r="AP1032" t="inlineStr">
        <is>
          <t>No</t>
        </is>
      </c>
      <c r="AQ1032" t="inlineStr">
        <is>
          <t>Yes</t>
        </is>
      </c>
      <c r="AR1032">
        <f>HYPERLINK("http://catalog.hathitrust.org/Record/000672009","HathiTrust Record")</f>
        <v/>
      </c>
      <c r="AS1032">
        <f>HYPERLINK("https://creighton-primo.hosted.exlibrisgroup.com/primo-explore/search?tab=default_tab&amp;search_scope=EVERYTHING&amp;vid=01CRU&amp;lang=en_US&amp;offset=0&amp;query=any,contains,991000759819702656","Catalog Record")</f>
        <v/>
      </c>
      <c r="AT1032">
        <f>HYPERLINK("http://www.worldcat.org/oclc/12972241","WorldCat Record")</f>
        <v/>
      </c>
      <c r="AU1032" t="inlineStr">
        <is>
          <t>39988442:eng</t>
        </is>
      </c>
      <c r="AV1032" t="inlineStr">
        <is>
          <t>12972241</t>
        </is>
      </c>
      <c r="AW1032" t="inlineStr">
        <is>
          <t>991000759819702656</t>
        </is>
      </c>
      <c r="AX1032" t="inlineStr">
        <is>
          <t>991000759819702656</t>
        </is>
      </c>
      <c r="AY1032" t="inlineStr">
        <is>
          <t>2263818950002656</t>
        </is>
      </c>
      <c r="AZ1032" t="inlineStr">
        <is>
          <t>BOOK</t>
        </is>
      </c>
      <c r="BB1032" t="inlineStr">
        <is>
          <t>9780387962719</t>
        </is>
      </c>
      <c r="BC1032" t="inlineStr">
        <is>
          <t>32285000268895</t>
        </is>
      </c>
      <c r="BD1032" t="inlineStr">
        <is>
          <t>893602045</t>
        </is>
      </c>
    </row>
    <row r="1033">
      <c r="A1033" t="inlineStr">
        <is>
          <t>No</t>
        </is>
      </c>
      <c r="B1033" t="inlineStr">
        <is>
          <t>QD461 .V45 1997</t>
        </is>
      </c>
      <c r="C1033" t="inlineStr">
        <is>
          <t>0                      QD 0461000V  45          1997</t>
        </is>
      </c>
      <c r="D1033" t="inlineStr">
        <is>
          <t>A pictorial approach to molecular bonding and vibrations / John G. Verkade.</t>
        </is>
      </c>
      <c r="F1033" t="inlineStr">
        <is>
          <t>No</t>
        </is>
      </c>
      <c r="G1033" t="inlineStr">
        <is>
          <t>1</t>
        </is>
      </c>
      <c r="H1033" t="inlineStr">
        <is>
          <t>No</t>
        </is>
      </c>
      <c r="I1033" t="inlineStr">
        <is>
          <t>No</t>
        </is>
      </c>
      <c r="J1033" t="inlineStr">
        <is>
          <t>0</t>
        </is>
      </c>
      <c r="K1033" t="inlineStr">
        <is>
          <t>Verkade, John G., 1935-</t>
        </is>
      </c>
      <c r="L1033" t="inlineStr">
        <is>
          <t>New York : Springer, c1997.</t>
        </is>
      </c>
      <c r="M1033" t="inlineStr">
        <is>
          <t>1997</t>
        </is>
      </c>
      <c r="N1033" t="inlineStr">
        <is>
          <t>2nd ed.</t>
        </is>
      </c>
      <c r="O1033" t="inlineStr">
        <is>
          <t>eng</t>
        </is>
      </c>
      <c r="P1033" t="inlineStr">
        <is>
          <t>nyu</t>
        </is>
      </c>
      <c r="R1033" t="inlineStr">
        <is>
          <t xml:space="preserve">QD </t>
        </is>
      </c>
      <c r="S1033" t="n">
        <v>1</v>
      </c>
      <c r="T1033" t="n">
        <v>1</v>
      </c>
      <c r="U1033" t="inlineStr">
        <is>
          <t>1998-10-01</t>
        </is>
      </c>
      <c r="V1033" t="inlineStr">
        <is>
          <t>1998-10-01</t>
        </is>
      </c>
      <c r="W1033" t="inlineStr">
        <is>
          <t>1998-05-18</t>
        </is>
      </c>
      <c r="X1033" t="inlineStr">
        <is>
          <t>1998-05-18</t>
        </is>
      </c>
      <c r="Y1033" t="n">
        <v>431</v>
      </c>
      <c r="Z1033" t="n">
        <v>355</v>
      </c>
      <c r="AA1033" t="n">
        <v>362</v>
      </c>
      <c r="AB1033" t="n">
        <v>5</v>
      </c>
      <c r="AC1033" t="n">
        <v>5</v>
      </c>
      <c r="AD1033" t="n">
        <v>23</v>
      </c>
      <c r="AE1033" t="n">
        <v>23</v>
      </c>
      <c r="AF1033" t="n">
        <v>7</v>
      </c>
      <c r="AG1033" t="n">
        <v>7</v>
      </c>
      <c r="AH1033" t="n">
        <v>4</v>
      </c>
      <c r="AI1033" t="n">
        <v>4</v>
      </c>
      <c r="AJ1033" t="n">
        <v>14</v>
      </c>
      <c r="AK1033" t="n">
        <v>14</v>
      </c>
      <c r="AL1033" t="n">
        <v>4</v>
      </c>
      <c r="AM1033" t="n">
        <v>4</v>
      </c>
      <c r="AN1033" t="n">
        <v>0</v>
      </c>
      <c r="AO1033" t="n">
        <v>0</v>
      </c>
      <c r="AP1033" t="inlineStr">
        <is>
          <t>No</t>
        </is>
      </c>
      <c r="AQ1033" t="inlineStr">
        <is>
          <t>No</t>
        </is>
      </c>
      <c r="AS1033">
        <f>HYPERLINK("https://creighton-primo.hosted.exlibrisgroup.com/primo-explore/search?tab=default_tab&amp;search_scope=EVERYTHING&amp;vid=01CRU&amp;lang=en_US&amp;offset=0&amp;query=any,contains,991002650289702656","Catalog Record")</f>
        <v/>
      </c>
      <c r="AT1033">
        <f>HYPERLINK("http://www.worldcat.org/oclc/34669341","WorldCat Record")</f>
        <v/>
      </c>
      <c r="AU1033" t="inlineStr">
        <is>
          <t>2290511753:eng</t>
        </is>
      </c>
      <c r="AV1033" t="inlineStr">
        <is>
          <t>34669341</t>
        </is>
      </c>
      <c r="AW1033" t="inlineStr">
        <is>
          <t>991002650289702656</t>
        </is>
      </c>
      <c r="AX1033" t="inlineStr">
        <is>
          <t>991002650289702656</t>
        </is>
      </c>
      <c r="AY1033" t="inlineStr">
        <is>
          <t>2271346600002656</t>
        </is>
      </c>
      <c r="AZ1033" t="inlineStr">
        <is>
          <t>BOOK</t>
        </is>
      </c>
      <c r="BB1033" t="inlineStr">
        <is>
          <t>9780387948119</t>
        </is>
      </c>
      <c r="BC1033" t="inlineStr">
        <is>
          <t>32285003409298</t>
        </is>
      </c>
      <c r="BD1033" t="inlineStr">
        <is>
          <t>893421633</t>
        </is>
      </c>
    </row>
    <row r="1034">
      <c r="A1034" t="inlineStr">
        <is>
          <t>No</t>
        </is>
      </c>
      <c r="B1034" t="inlineStr">
        <is>
          <t>QD461.5 .M65 1984</t>
        </is>
      </c>
      <c r="C1034" t="inlineStr">
        <is>
          <t>0                      QD 0461500M  65          1984</t>
        </is>
      </c>
      <c r="D1034" t="inlineStr">
        <is>
          <t>Molecular potential energy functions / J.N. Murrell ... [et al.].</t>
        </is>
      </c>
      <c r="F1034" t="inlineStr">
        <is>
          <t>No</t>
        </is>
      </c>
      <c r="G1034" t="inlineStr">
        <is>
          <t>1</t>
        </is>
      </c>
      <c r="H1034" t="inlineStr">
        <is>
          <t>No</t>
        </is>
      </c>
      <c r="I1034" t="inlineStr">
        <is>
          <t>No</t>
        </is>
      </c>
      <c r="J1034" t="inlineStr">
        <is>
          <t>0</t>
        </is>
      </c>
      <c r="L1034" t="inlineStr">
        <is>
          <t>Chichester [West Sussex] ; New York : J. Wiley, c1984.</t>
        </is>
      </c>
      <c r="M1034" t="inlineStr">
        <is>
          <t>1984</t>
        </is>
      </c>
      <c r="O1034" t="inlineStr">
        <is>
          <t>eng</t>
        </is>
      </c>
      <c r="P1034" t="inlineStr">
        <is>
          <t>enk</t>
        </is>
      </c>
      <c r="R1034" t="inlineStr">
        <is>
          <t xml:space="preserve">QD </t>
        </is>
      </c>
      <c r="S1034" t="n">
        <v>4</v>
      </c>
      <c r="T1034" t="n">
        <v>4</v>
      </c>
      <c r="U1034" t="inlineStr">
        <is>
          <t>1998-01-19</t>
        </is>
      </c>
      <c r="V1034" t="inlineStr">
        <is>
          <t>1998-01-19</t>
        </is>
      </c>
      <c r="W1034" t="inlineStr">
        <is>
          <t>1993-02-03</t>
        </is>
      </c>
      <c r="X1034" t="inlineStr">
        <is>
          <t>1993-02-03</t>
        </is>
      </c>
      <c r="Y1034" t="n">
        <v>327</v>
      </c>
      <c r="Z1034" t="n">
        <v>237</v>
      </c>
      <c r="AA1034" t="n">
        <v>240</v>
      </c>
      <c r="AB1034" t="n">
        <v>2</v>
      </c>
      <c r="AC1034" t="n">
        <v>2</v>
      </c>
      <c r="AD1034" t="n">
        <v>8</v>
      </c>
      <c r="AE1034" t="n">
        <v>8</v>
      </c>
      <c r="AF1034" t="n">
        <v>2</v>
      </c>
      <c r="AG1034" t="n">
        <v>2</v>
      </c>
      <c r="AH1034" t="n">
        <v>4</v>
      </c>
      <c r="AI1034" t="n">
        <v>4</v>
      </c>
      <c r="AJ1034" t="n">
        <v>5</v>
      </c>
      <c r="AK1034" t="n">
        <v>5</v>
      </c>
      <c r="AL1034" t="n">
        <v>1</v>
      </c>
      <c r="AM1034" t="n">
        <v>1</v>
      </c>
      <c r="AN1034" t="n">
        <v>0</v>
      </c>
      <c r="AO1034" t="n">
        <v>0</v>
      </c>
      <c r="AP1034" t="inlineStr">
        <is>
          <t>No</t>
        </is>
      </c>
      <c r="AQ1034" t="inlineStr">
        <is>
          <t>Yes</t>
        </is>
      </c>
      <c r="AR1034">
        <f>HYPERLINK("http://catalog.hathitrust.org/Record/000410745","HathiTrust Record")</f>
        <v/>
      </c>
      <c r="AS1034">
        <f>HYPERLINK("https://creighton-primo.hosted.exlibrisgroup.com/primo-explore/search?tab=default_tab&amp;search_scope=EVERYTHING&amp;vid=01CRU&amp;lang=en_US&amp;offset=0&amp;query=any,contains,991000438159702656","Catalog Record")</f>
        <v/>
      </c>
      <c r="AT1034">
        <f>HYPERLINK("http://www.worldcat.org/oclc/10800428","WorldCat Record")</f>
        <v/>
      </c>
      <c r="AU1034" t="inlineStr">
        <is>
          <t>54647545:eng</t>
        </is>
      </c>
      <c r="AV1034" t="inlineStr">
        <is>
          <t>10800428</t>
        </is>
      </c>
      <c r="AW1034" t="inlineStr">
        <is>
          <t>991000438159702656</t>
        </is>
      </c>
      <c r="AX1034" t="inlineStr">
        <is>
          <t>991000438159702656</t>
        </is>
      </c>
      <c r="AY1034" t="inlineStr">
        <is>
          <t>2270643150002656</t>
        </is>
      </c>
      <c r="AZ1034" t="inlineStr">
        <is>
          <t>BOOK</t>
        </is>
      </c>
      <c r="BB1034" t="inlineStr">
        <is>
          <t>9780471905400</t>
        </is>
      </c>
      <c r="BC1034" t="inlineStr">
        <is>
          <t>32285001516706</t>
        </is>
      </c>
      <c r="BD1034" t="inlineStr">
        <is>
          <t>893249346</t>
        </is>
      </c>
    </row>
    <row r="1035">
      <c r="A1035" t="inlineStr">
        <is>
          <t>No</t>
        </is>
      </c>
      <c r="B1035" t="inlineStr">
        <is>
          <t>QD462 .B33 1990</t>
        </is>
      </c>
      <c r="C1035" t="inlineStr">
        <is>
          <t>0                      QD 0462000B  33          1990</t>
        </is>
      </c>
      <c r="D1035" t="inlineStr">
        <is>
          <t>Atoms in molecules : a quantum theory / Richard F.W. Bader.</t>
        </is>
      </c>
      <c r="F1035" t="inlineStr">
        <is>
          <t>No</t>
        </is>
      </c>
      <c r="G1035" t="inlineStr">
        <is>
          <t>1</t>
        </is>
      </c>
      <c r="H1035" t="inlineStr">
        <is>
          <t>No</t>
        </is>
      </c>
      <c r="I1035" t="inlineStr">
        <is>
          <t>No</t>
        </is>
      </c>
      <c r="J1035" t="inlineStr">
        <is>
          <t>0</t>
        </is>
      </c>
      <c r="K1035" t="inlineStr">
        <is>
          <t>Bader, Richard F. W., 1931-2012.</t>
        </is>
      </c>
      <c r="L1035" t="inlineStr">
        <is>
          <t>Oxford ; New York : Clarendon Press, 1990.</t>
        </is>
      </c>
      <c r="M1035" t="inlineStr">
        <is>
          <t>1990</t>
        </is>
      </c>
      <c r="O1035" t="inlineStr">
        <is>
          <t>eng</t>
        </is>
      </c>
      <c r="P1035" t="inlineStr">
        <is>
          <t>enk</t>
        </is>
      </c>
      <c r="Q1035" t="inlineStr">
        <is>
          <t>The International series of monographs on chemistry ; 22</t>
        </is>
      </c>
      <c r="R1035" t="inlineStr">
        <is>
          <t xml:space="preserve">QD </t>
        </is>
      </c>
      <c r="S1035" t="n">
        <v>6</v>
      </c>
      <c r="T1035" t="n">
        <v>6</v>
      </c>
      <c r="U1035" t="inlineStr">
        <is>
          <t>2001-09-12</t>
        </is>
      </c>
      <c r="V1035" t="inlineStr">
        <is>
          <t>2001-09-12</t>
        </is>
      </c>
      <c r="W1035" t="inlineStr">
        <is>
          <t>1991-05-13</t>
        </is>
      </c>
      <c r="X1035" t="inlineStr">
        <is>
          <t>1991-05-13</t>
        </is>
      </c>
      <c r="Y1035" t="n">
        <v>320</v>
      </c>
      <c r="Z1035" t="n">
        <v>208</v>
      </c>
      <c r="AA1035" t="n">
        <v>294</v>
      </c>
      <c r="AB1035" t="n">
        <v>2</v>
      </c>
      <c r="AC1035" t="n">
        <v>3</v>
      </c>
      <c r="AD1035" t="n">
        <v>13</v>
      </c>
      <c r="AE1035" t="n">
        <v>21</v>
      </c>
      <c r="AF1035" t="n">
        <v>2</v>
      </c>
      <c r="AG1035" t="n">
        <v>5</v>
      </c>
      <c r="AH1035" t="n">
        <v>6</v>
      </c>
      <c r="AI1035" t="n">
        <v>6</v>
      </c>
      <c r="AJ1035" t="n">
        <v>7</v>
      </c>
      <c r="AK1035" t="n">
        <v>14</v>
      </c>
      <c r="AL1035" t="n">
        <v>1</v>
      </c>
      <c r="AM1035" t="n">
        <v>2</v>
      </c>
      <c r="AN1035" t="n">
        <v>0</v>
      </c>
      <c r="AO1035" t="n">
        <v>0</v>
      </c>
      <c r="AP1035" t="inlineStr">
        <is>
          <t>No</t>
        </is>
      </c>
      <c r="AQ1035" t="inlineStr">
        <is>
          <t>No</t>
        </is>
      </c>
      <c r="AS1035">
        <f>HYPERLINK("https://creighton-primo.hosted.exlibrisgroup.com/primo-explore/search?tab=default_tab&amp;search_scope=EVERYTHING&amp;vid=01CRU&amp;lang=en_US&amp;offset=0&amp;query=any,contains,991005412139702656","Catalog Record")</f>
        <v/>
      </c>
      <c r="AT1035">
        <f>HYPERLINK("http://www.worldcat.org/oclc/21521630","WorldCat Record")</f>
        <v/>
      </c>
      <c r="AU1035" t="inlineStr">
        <is>
          <t>836728015:eng</t>
        </is>
      </c>
      <c r="AV1035" t="inlineStr">
        <is>
          <t>21521630</t>
        </is>
      </c>
      <c r="AW1035" t="inlineStr">
        <is>
          <t>991005412139702656</t>
        </is>
      </c>
      <c r="AX1035" t="inlineStr">
        <is>
          <t>991005412139702656</t>
        </is>
      </c>
      <c r="AY1035" t="inlineStr">
        <is>
          <t>2258005580002656</t>
        </is>
      </c>
      <c r="AZ1035" t="inlineStr">
        <is>
          <t>BOOK</t>
        </is>
      </c>
      <c r="BB1035" t="inlineStr">
        <is>
          <t>9780198551683</t>
        </is>
      </c>
      <c r="BC1035" t="inlineStr">
        <is>
          <t>32285000572221</t>
        </is>
      </c>
      <c r="BD1035" t="inlineStr">
        <is>
          <t>893625980</t>
        </is>
      </c>
    </row>
    <row r="1036">
      <c r="A1036" t="inlineStr">
        <is>
          <t>No</t>
        </is>
      </c>
      <c r="B1036" t="inlineStr">
        <is>
          <t>QD462 .C66 2008</t>
        </is>
      </c>
      <c r="C1036" t="inlineStr">
        <is>
          <t>0                      QD 0462000C  66          2008</t>
        </is>
      </c>
      <c r="D1036" t="inlineStr">
        <is>
          <t>Quantum chemistry : a unified approach / David B. Cook.</t>
        </is>
      </c>
      <c r="F1036" t="inlineStr">
        <is>
          <t>No</t>
        </is>
      </c>
      <c r="G1036" t="inlineStr">
        <is>
          <t>1</t>
        </is>
      </c>
      <c r="H1036" t="inlineStr">
        <is>
          <t>No</t>
        </is>
      </c>
      <c r="I1036" t="inlineStr">
        <is>
          <t>No</t>
        </is>
      </c>
      <c r="J1036" t="inlineStr">
        <is>
          <t>0</t>
        </is>
      </c>
      <c r="K1036" t="inlineStr">
        <is>
          <t>Cook, David B. (David Branston)</t>
        </is>
      </c>
      <c r="L1036" t="inlineStr">
        <is>
          <t>London : Imperial College Press ; Singapore ; Hackensack, NJ : Distributed by World Scientific Pub., c2008.</t>
        </is>
      </c>
      <c r="M1036" t="inlineStr">
        <is>
          <t>2008</t>
        </is>
      </c>
      <c r="O1036" t="inlineStr">
        <is>
          <t>eng</t>
        </is>
      </c>
      <c r="P1036" t="inlineStr">
        <is>
          <t>enk</t>
        </is>
      </c>
      <c r="R1036" t="inlineStr">
        <is>
          <t xml:space="preserve">QD </t>
        </is>
      </c>
      <c r="S1036" t="n">
        <v>2</v>
      </c>
      <c r="T1036" t="n">
        <v>2</v>
      </c>
      <c r="U1036" t="inlineStr">
        <is>
          <t>2009-01-21</t>
        </is>
      </c>
      <c r="V1036" t="inlineStr">
        <is>
          <t>2009-01-21</t>
        </is>
      </c>
      <c r="W1036" t="inlineStr">
        <is>
          <t>2009-01-21</t>
        </is>
      </c>
      <c r="X1036" t="inlineStr">
        <is>
          <t>2009-01-21</t>
        </is>
      </c>
      <c r="Y1036" t="n">
        <v>162</v>
      </c>
      <c r="Z1036" t="n">
        <v>92</v>
      </c>
      <c r="AA1036" t="n">
        <v>140</v>
      </c>
      <c r="AB1036" t="n">
        <v>1</v>
      </c>
      <c r="AC1036" t="n">
        <v>2</v>
      </c>
      <c r="AD1036" t="n">
        <v>1</v>
      </c>
      <c r="AE1036" t="n">
        <v>6</v>
      </c>
      <c r="AF1036" t="n">
        <v>0</v>
      </c>
      <c r="AG1036" t="n">
        <v>1</v>
      </c>
      <c r="AH1036" t="n">
        <v>0</v>
      </c>
      <c r="AI1036" t="n">
        <v>2</v>
      </c>
      <c r="AJ1036" t="n">
        <v>1</v>
      </c>
      <c r="AK1036" t="n">
        <v>4</v>
      </c>
      <c r="AL1036" t="n">
        <v>0</v>
      </c>
      <c r="AM1036" t="n">
        <v>1</v>
      </c>
      <c r="AN1036" t="n">
        <v>0</v>
      </c>
      <c r="AO1036" t="n">
        <v>0</v>
      </c>
      <c r="AP1036" t="inlineStr">
        <is>
          <t>No</t>
        </is>
      </c>
      <c r="AQ1036" t="inlineStr">
        <is>
          <t>No</t>
        </is>
      </c>
      <c r="AS1036">
        <f>HYPERLINK("https://creighton-primo.hosted.exlibrisgroup.com/primo-explore/search?tab=default_tab&amp;search_scope=EVERYTHING&amp;vid=01CRU&amp;lang=en_US&amp;offset=0&amp;query=any,contains,991005289009702656","Catalog Record")</f>
        <v/>
      </c>
      <c r="AT1036">
        <f>HYPERLINK("http://www.worldcat.org/oclc/236313220","WorldCat Record")</f>
        <v/>
      </c>
      <c r="AU1036" t="inlineStr">
        <is>
          <t>909783936:eng</t>
        </is>
      </c>
      <c r="AV1036" t="inlineStr">
        <is>
          <t>236313220</t>
        </is>
      </c>
      <c r="AW1036" t="inlineStr">
        <is>
          <t>991005289009702656</t>
        </is>
      </c>
      <c r="AX1036" t="inlineStr">
        <is>
          <t>991005289009702656</t>
        </is>
      </c>
      <c r="AY1036" t="inlineStr">
        <is>
          <t>2272758230002656</t>
        </is>
      </c>
      <c r="AZ1036" t="inlineStr">
        <is>
          <t>BOOK</t>
        </is>
      </c>
      <c r="BB1036" t="inlineStr">
        <is>
          <t>9781848162655</t>
        </is>
      </c>
      <c r="BC1036" t="inlineStr">
        <is>
          <t>32285005500078</t>
        </is>
      </c>
      <c r="BD1036" t="inlineStr">
        <is>
          <t>893902426</t>
        </is>
      </c>
    </row>
    <row r="1037">
      <c r="A1037" t="inlineStr">
        <is>
          <t>No</t>
        </is>
      </c>
      <c r="B1037" t="inlineStr">
        <is>
          <t>QD462 .D95 1992</t>
        </is>
      </c>
      <c r="C1037" t="inlineStr">
        <is>
          <t>0                      QD 0462000D  95          1992</t>
        </is>
      </c>
      <c r="D1037" t="inlineStr">
        <is>
          <t>Quantum chemistry and molecular spectroscopy / Clifford E. Dykstra.</t>
        </is>
      </c>
      <c r="F1037" t="inlineStr">
        <is>
          <t>No</t>
        </is>
      </c>
      <c r="G1037" t="inlineStr">
        <is>
          <t>1</t>
        </is>
      </c>
      <c r="H1037" t="inlineStr">
        <is>
          <t>No</t>
        </is>
      </c>
      <c r="I1037" t="inlineStr">
        <is>
          <t>No</t>
        </is>
      </c>
      <c r="J1037" t="inlineStr">
        <is>
          <t>0</t>
        </is>
      </c>
      <c r="K1037" t="inlineStr">
        <is>
          <t>Dykstra, Clifford E.</t>
        </is>
      </c>
      <c r="L1037" t="inlineStr">
        <is>
          <t>Englewood Cliffs, N.J. : Prentice Hall, c1992.</t>
        </is>
      </c>
      <c r="M1037" t="inlineStr">
        <is>
          <t>1992</t>
        </is>
      </c>
      <c r="O1037" t="inlineStr">
        <is>
          <t>eng</t>
        </is>
      </c>
      <c r="P1037" t="inlineStr">
        <is>
          <t>nju</t>
        </is>
      </c>
      <c r="R1037" t="inlineStr">
        <is>
          <t xml:space="preserve">QD </t>
        </is>
      </c>
      <c r="S1037" t="n">
        <v>14</v>
      </c>
      <c r="T1037" t="n">
        <v>14</v>
      </c>
      <c r="U1037" t="inlineStr">
        <is>
          <t>1998-11-06</t>
        </is>
      </c>
      <c r="V1037" t="inlineStr">
        <is>
          <t>1998-11-06</t>
        </is>
      </c>
      <c r="W1037" t="inlineStr">
        <is>
          <t>1992-05-08</t>
        </is>
      </c>
      <c r="X1037" t="inlineStr">
        <is>
          <t>1992-05-08</t>
        </is>
      </c>
      <c r="Y1037" t="n">
        <v>254</v>
      </c>
      <c r="Z1037" t="n">
        <v>208</v>
      </c>
      <c r="AA1037" t="n">
        <v>210</v>
      </c>
      <c r="AB1037" t="n">
        <v>4</v>
      </c>
      <c r="AC1037" t="n">
        <v>4</v>
      </c>
      <c r="AD1037" t="n">
        <v>11</v>
      </c>
      <c r="AE1037" t="n">
        <v>11</v>
      </c>
      <c r="AF1037" t="n">
        <v>1</v>
      </c>
      <c r="AG1037" t="n">
        <v>1</v>
      </c>
      <c r="AH1037" t="n">
        <v>5</v>
      </c>
      <c r="AI1037" t="n">
        <v>5</v>
      </c>
      <c r="AJ1037" t="n">
        <v>5</v>
      </c>
      <c r="AK1037" t="n">
        <v>5</v>
      </c>
      <c r="AL1037" t="n">
        <v>3</v>
      </c>
      <c r="AM1037" t="n">
        <v>3</v>
      </c>
      <c r="AN1037" t="n">
        <v>0</v>
      </c>
      <c r="AO1037" t="n">
        <v>0</v>
      </c>
      <c r="AP1037" t="inlineStr">
        <is>
          <t>No</t>
        </is>
      </c>
      <c r="AQ1037" t="inlineStr">
        <is>
          <t>Yes</t>
        </is>
      </c>
      <c r="AR1037">
        <f>HYPERLINK("http://catalog.hathitrust.org/Record/002560690","HathiTrust Record")</f>
        <v/>
      </c>
      <c r="AS1037">
        <f>HYPERLINK("https://creighton-primo.hosted.exlibrisgroup.com/primo-explore/search?tab=default_tab&amp;search_scope=EVERYTHING&amp;vid=01CRU&amp;lang=en_US&amp;offset=0&amp;query=any,contains,991001903039702656","Catalog Record")</f>
        <v/>
      </c>
      <c r="AT1037">
        <f>HYPERLINK("http://www.worldcat.org/oclc/24064973","WorldCat Record")</f>
        <v/>
      </c>
      <c r="AU1037" t="inlineStr">
        <is>
          <t>25076202:eng</t>
        </is>
      </c>
      <c r="AV1037" t="inlineStr">
        <is>
          <t>24064973</t>
        </is>
      </c>
      <c r="AW1037" t="inlineStr">
        <is>
          <t>991001903039702656</t>
        </is>
      </c>
      <c r="AX1037" t="inlineStr">
        <is>
          <t>991001903039702656</t>
        </is>
      </c>
      <c r="AY1037" t="inlineStr">
        <is>
          <t>2264188150002656</t>
        </is>
      </c>
      <c r="AZ1037" t="inlineStr">
        <is>
          <t>BOOK</t>
        </is>
      </c>
      <c r="BB1037" t="inlineStr">
        <is>
          <t>9780137473120</t>
        </is>
      </c>
      <c r="BC1037" t="inlineStr">
        <is>
          <t>32285001038826</t>
        </is>
      </c>
      <c r="BD1037" t="inlineStr">
        <is>
          <t>893703427</t>
        </is>
      </c>
    </row>
    <row r="1038">
      <c r="A1038" t="inlineStr">
        <is>
          <t>No</t>
        </is>
      </c>
      <c r="B1038" t="inlineStr">
        <is>
          <t>QD462 .F583 1983</t>
        </is>
      </c>
      <c r="C1038" t="inlineStr">
        <is>
          <t>0                      QD 0462000F  583         1983</t>
        </is>
      </c>
      <c r="D1038" t="inlineStr">
        <is>
          <t>Quantum chemistry : an introduction / R.L. Flurry, Jr.</t>
        </is>
      </c>
      <c r="F1038" t="inlineStr">
        <is>
          <t>No</t>
        </is>
      </c>
      <c r="G1038" t="inlineStr">
        <is>
          <t>1</t>
        </is>
      </c>
      <c r="H1038" t="inlineStr">
        <is>
          <t>No</t>
        </is>
      </c>
      <c r="I1038" t="inlineStr">
        <is>
          <t>No</t>
        </is>
      </c>
      <c r="J1038" t="inlineStr">
        <is>
          <t>0</t>
        </is>
      </c>
      <c r="K1038" t="inlineStr">
        <is>
          <t>Flurry, Robert L.</t>
        </is>
      </c>
      <c r="L1038" t="inlineStr">
        <is>
          <t>Englewood Cliffs, N.J. : Prentice-Hall, c1983.</t>
        </is>
      </c>
      <c r="M1038" t="inlineStr">
        <is>
          <t>1983</t>
        </is>
      </c>
      <c r="O1038" t="inlineStr">
        <is>
          <t>eng</t>
        </is>
      </c>
      <c r="P1038" t="inlineStr">
        <is>
          <t>nju</t>
        </is>
      </c>
      <c r="R1038" t="inlineStr">
        <is>
          <t xml:space="preserve">QD </t>
        </is>
      </c>
      <c r="S1038" t="n">
        <v>5</v>
      </c>
      <c r="T1038" t="n">
        <v>5</v>
      </c>
      <c r="U1038" t="inlineStr">
        <is>
          <t>1998-11-06</t>
        </is>
      </c>
      <c r="V1038" t="inlineStr">
        <is>
          <t>1998-11-06</t>
        </is>
      </c>
      <c r="W1038" t="inlineStr">
        <is>
          <t>1990-08-14</t>
        </is>
      </c>
      <c r="X1038" t="inlineStr">
        <is>
          <t>1990-08-14</t>
        </is>
      </c>
      <c r="Y1038" t="n">
        <v>277</v>
      </c>
      <c r="Z1038" t="n">
        <v>207</v>
      </c>
      <c r="AA1038" t="n">
        <v>208</v>
      </c>
      <c r="AB1038" t="n">
        <v>1</v>
      </c>
      <c r="AC1038" t="n">
        <v>1</v>
      </c>
      <c r="AD1038" t="n">
        <v>6</v>
      </c>
      <c r="AE1038" t="n">
        <v>6</v>
      </c>
      <c r="AF1038" t="n">
        <v>4</v>
      </c>
      <c r="AG1038" t="n">
        <v>4</v>
      </c>
      <c r="AH1038" t="n">
        <v>3</v>
      </c>
      <c r="AI1038" t="n">
        <v>3</v>
      </c>
      <c r="AJ1038" t="n">
        <v>1</v>
      </c>
      <c r="AK1038" t="n">
        <v>1</v>
      </c>
      <c r="AL1038" t="n">
        <v>0</v>
      </c>
      <c r="AM1038" t="n">
        <v>0</v>
      </c>
      <c r="AN1038" t="n">
        <v>0</v>
      </c>
      <c r="AO1038" t="n">
        <v>0</v>
      </c>
      <c r="AP1038" t="inlineStr">
        <is>
          <t>No</t>
        </is>
      </c>
      <c r="AQ1038" t="inlineStr">
        <is>
          <t>Yes</t>
        </is>
      </c>
      <c r="AR1038">
        <f>HYPERLINK("http://catalog.hathitrust.org/Record/000774015","HathiTrust Record")</f>
        <v/>
      </c>
      <c r="AS1038">
        <f>HYPERLINK("https://creighton-primo.hosted.exlibrisgroup.com/primo-explore/search?tab=default_tab&amp;search_scope=EVERYTHING&amp;vid=01CRU&amp;lang=en_US&amp;offset=0&amp;query=any,contains,991005244259702656","Catalog Record")</f>
        <v/>
      </c>
      <c r="AT1038">
        <f>HYPERLINK("http://www.worldcat.org/oclc/8451221","WorldCat Record")</f>
        <v/>
      </c>
      <c r="AU1038" t="inlineStr">
        <is>
          <t>3901637957:eng</t>
        </is>
      </c>
      <c r="AV1038" t="inlineStr">
        <is>
          <t>8451221</t>
        </is>
      </c>
      <c r="AW1038" t="inlineStr">
        <is>
          <t>991005244259702656</t>
        </is>
      </c>
      <c r="AX1038" t="inlineStr">
        <is>
          <t>991005244259702656</t>
        </is>
      </c>
      <c r="AY1038" t="inlineStr">
        <is>
          <t>2266021520002656</t>
        </is>
      </c>
      <c r="AZ1038" t="inlineStr">
        <is>
          <t>BOOK</t>
        </is>
      </c>
      <c r="BB1038" t="inlineStr">
        <is>
          <t>9780137478323</t>
        </is>
      </c>
      <c r="BC1038" t="inlineStr">
        <is>
          <t>32285000268903</t>
        </is>
      </c>
      <c r="BD1038" t="inlineStr">
        <is>
          <t>893527164</t>
        </is>
      </c>
    </row>
    <row r="1039">
      <c r="A1039" t="inlineStr">
        <is>
          <t>No</t>
        </is>
      </c>
      <c r="B1039" t="inlineStr">
        <is>
          <t>QD462 .G75 2005</t>
        </is>
      </c>
      <c r="C1039" t="inlineStr">
        <is>
          <t>0                      QD 0462000G  75          2005</t>
        </is>
      </c>
      <c r="D1039" t="inlineStr">
        <is>
          <t>The quantum in chemistry : an experimentalist's view / Roger Grinter.</t>
        </is>
      </c>
      <c r="F1039" t="inlineStr">
        <is>
          <t>No</t>
        </is>
      </c>
      <c r="G1039" t="inlineStr">
        <is>
          <t>1</t>
        </is>
      </c>
      <c r="H1039" t="inlineStr">
        <is>
          <t>No</t>
        </is>
      </c>
      <c r="I1039" t="inlineStr">
        <is>
          <t>No</t>
        </is>
      </c>
      <c r="J1039" t="inlineStr">
        <is>
          <t>0</t>
        </is>
      </c>
      <c r="K1039" t="inlineStr">
        <is>
          <t>Grinter, Roger.</t>
        </is>
      </c>
      <c r="L1039" t="inlineStr">
        <is>
          <t>Chichester, West Sussex, England ; Hoboken, NJ : J. Wiley, c2005.</t>
        </is>
      </c>
      <c r="M1039" t="inlineStr">
        <is>
          <t>2005</t>
        </is>
      </c>
      <c r="O1039" t="inlineStr">
        <is>
          <t>eng</t>
        </is>
      </c>
      <c r="P1039" t="inlineStr">
        <is>
          <t>enk</t>
        </is>
      </c>
      <c r="R1039" t="inlineStr">
        <is>
          <t xml:space="preserve">QD </t>
        </is>
      </c>
      <c r="S1039" t="n">
        <v>1</v>
      </c>
      <c r="T1039" t="n">
        <v>1</v>
      </c>
      <c r="U1039" t="inlineStr">
        <is>
          <t>2007-03-15</t>
        </is>
      </c>
      <c r="V1039" t="inlineStr">
        <is>
          <t>2007-03-15</t>
        </is>
      </c>
      <c r="W1039" t="inlineStr">
        <is>
          <t>2007-03-15</t>
        </is>
      </c>
      <c r="X1039" t="inlineStr">
        <is>
          <t>2007-03-15</t>
        </is>
      </c>
      <c r="Y1039" t="n">
        <v>266</v>
      </c>
      <c r="Z1039" t="n">
        <v>182</v>
      </c>
      <c r="AA1039" t="n">
        <v>208</v>
      </c>
      <c r="AB1039" t="n">
        <v>2</v>
      </c>
      <c r="AC1039" t="n">
        <v>2</v>
      </c>
      <c r="AD1039" t="n">
        <v>11</v>
      </c>
      <c r="AE1039" t="n">
        <v>12</v>
      </c>
      <c r="AF1039" t="n">
        <v>4</v>
      </c>
      <c r="AG1039" t="n">
        <v>5</v>
      </c>
      <c r="AH1039" t="n">
        <v>3</v>
      </c>
      <c r="AI1039" t="n">
        <v>3</v>
      </c>
      <c r="AJ1039" t="n">
        <v>5</v>
      </c>
      <c r="AK1039" t="n">
        <v>6</v>
      </c>
      <c r="AL1039" t="n">
        <v>1</v>
      </c>
      <c r="AM1039" t="n">
        <v>1</v>
      </c>
      <c r="AN1039" t="n">
        <v>0</v>
      </c>
      <c r="AO1039" t="n">
        <v>0</v>
      </c>
      <c r="AP1039" t="inlineStr">
        <is>
          <t>No</t>
        </is>
      </c>
      <c r="AQ1039" t="inlineStr">
        <is>
          <t>Yes</t>
        </is>
      </c>
      <c r="AR1039">
        <f>HYPERLINK("http://catalog.hathitrust.org/Record/005102471","HathiTrust Record")</f>
        <v/>
      </c>
      <c r="AS1039">
        <f>HYPERLINK("https://creighton-primo.hosted.exlibrisgroup.com/primo-explore/search?tab=default_tab&amp;search_scope=EVERYTHING&amp;vid=01CRU&amp;lang=en_US&amp;offset=0&amp;query=any,contains,991005046769702656","Catalog Record")</f>
        <v/>
      </c>
      <c r="AT1039">
        <f>HYPERLINK("http://www.worldcat.org/oclc/58919972","WorldCat Record")</f>
        <v/>
      </c>
      <c r="AU1039" t="inlineStr">
        <is>
          <t>801527204:eng</t>
        </is>
      </c>
      <c r="AV1039" t="inlineStr">
        <is>
          <t>58919972</t>
        </is>
      </c>
      <c r="AW1039" t="inlineStr">
        <is>
          <t>991005046769702656</t>
        </is>
      </c>
      <c r="AX1039" t="inlineStr">
        <is>
          <t>991005046769702656</t>
        </is>
      </c>
      <c r="AY1039" t="inlineStr">
        <is>
          <t>2270303800002656</t>
        </is>
      </c>
      <c r="AZ1039" t="inlineStr">
        <is>
          <t>BOOK</t>
        </is>
      </c>
      <c r="BB1039" t="inlineStr">
        <is>
          <t>9780470013175</t>
        </is>
      </c>
      <c r="BC1039" t="inlineStr">
        <is>
          <t>32285005282206</t>
        </is>
      </c>
      <c r="BD1039" t="inlineStr">
        <is>
          <t>893326084</t>
        </is>
      </c>
    </row>
    <row r="1040">
      <c r="A1040" t="inlineStr">
        <is>
          <t>No</t>
        </is>
      </c>
      <c r="B1040" t="inlineStr">
        <is>
          <t>QD462 .H3 1969</t>
        </is>
      </c>
      <c r="C1040" t="inlineStr">
        <is>
          <t>0                      QD 0462000H  3           1969</t>
        </is>
      </c>
      <c r="D1040" t="inlineStr">
        <is>
          <t>Quantum mechanics in chemistry / [by] Melvin W. Hanna.</t>
        </is>
      </c>
      <c r="F1040" t="inlineStr">
        <is>
          <t>No</t>
        </is>
      </c>
      <c r="G1040" t="inlineStr">
        <is>
          <t>1</t>
        </is>
      </c>
      <c r="H1040" t="inlineStr">
        <is>
          <t>No</t>
        </is>
      </c>
      <c r="I1040" t="inlineStr">
        <is>
          <t>No</t>
        </is>
      </c>
      <c r="J1040" t="inlineStr">
        <is>
          <t>0</t>
        </is>
      </c>
      <c r="K1040" t="inlineStr">
        <is>
          <t>Hanna, Melvin W.</t>
        </is>
      </c>
      <c r="L1040" t="inlineStr">
        <is>
          <t>New York : W.A. Benjamin, 1969.</t>
        </is>
      </c>
      <c r="M1040" t="inlineStr">
        <is>
          <t>1969</t>
        </is>
      </c>
      <c r="N1040" t="inlineStr">
        <is>
          <t>2d ed.</t>
        </is>
      </c>
      <c r="O1040" t="inlineStr">
        <is>
          <t>eng</t>
        </is>
      </c>
      <c r="P1040" t="inlineStr">
        <is>
          <t>nyu</t>
        </is>
      </c>
      <c r="Q1040" t="inlineStr">
        <is>
          <t>Physical chemistry monograph series</t>
        </is>
      </c>
      <c r="R1040" t="inlineStr">
        <is>
          <t xml:space="preserve">QD </t>
        </is>
      </c>
      <c r="S1040" t="n">
        <v>1</v>
      </c>
      <c r="T1040" t="n">
        <v>1</v>
      </c>
      <c r="U1040" t="inlineStr">
        <is>
          <t>2005-09-12</t>
        </is>
      </c>
      <c r="V1040" t="inlineStr">
        <is>
          <t>2005-09-12</t>
        </is>
      </c>
      <c r="W1040" t="inlineStr">
        <is>
          <t>1993-09-29</t>
        </is>
      </c>
      <c r="X1040" t="inlineStr">
        <is>
          <t>1993-09-29</t>
        </is>
      </c>
      <c r="Y1040" t="n">
        <v>435</v>
      </c>
      <c r="Z1040" t="n">
        <v>330</v>
      </c>
      <c r="AA1040" t="n">
        <v>675</v>
      </c>
      <c r="AB1040" t="n">
        <v>3</v>
      </c>
      <c r="AC1040" t="n">
        <v>6</v>
      </c>
      <c r="AD1040" t="n">
        <v>14</v>
      </c>
      <c r="AE1040" t="n">
        <v>25</v>
      </c>
      <c r="AF1040" t="n">
        <v>6</v>
      </c>
      <c r="AG1040" t="n">
        <v>10</v>
      </c>
      <c r="AH1040" t="n">
        <v>4</v>
      </c>
      <c r="AI1040" t="n">
        <v>5</v>
      </c>
      <c r="AJ1040" t="n">
        <v>8</v>
      </c>
      <c r="AK1040" t="n">
        <v>15</v>
      </c>
      <c r="AL1040" t="n">
        <v>2</v>
      </c>
      <c r="AM1040" t="n">
        <v>5</v>
      </c>
      <c r="AN1040" t="n">
        <v>0</v>
      </c>
      <c r="AO1040" t="n">
        <v>0</v>
      </c>
      <c r="AP1040" t="inlineStr">
        <is>
          <t>No</t>
        </is>
      </c>
      <c r="AQ1040" t="inlineStr">
        <is>
          <t>Yes</t>
        </is>
      </c>
      <c r="AR1040">
        <f>HYPERLINK("http://catalog.hathitrust.org/Record/000000266","HathiTrust Record")</f>
        <v/>
      </c>
      <c r="AS1040">
        <f>HYPERLINK("https://creighton-primo.hosted.exlibrisgroup.com/primo-explore/search?tab=default_tab&amp;search_scope=EVERYTHING&amp;vid=01CRU&amp;lang=en_US&amp;offset=0&amp;query=any,contains,991000059229702656","Catalog Record")</f>
        <v/>
      </c>
      <c r="AT1040">
        <f>HYPERLINK("http://www.worldcat.org/oclc/24284","WorldCat Record")</f>
        <v/>
      </c>
      <c r="AU1040" t="inlineStr">
        <is>
          <t>28293738:eng</t>
        </is>
      </c>
      <c r="AV1040" t="inlineStr">
        <is>
          <t>24284</t>
        </is>
      </c>
      <c r="AW1040" t="inlineStr">
        <is>
          <t>991000059229702656</t>
        </is>
      </c>
      <c r="AX1040" t="inlineStr">
        <is>
          <t>991000059229702656</t>
        </is>
      </c>
      <c r="AY1040" t="inlineStr">
        <is>
          <t>2266747170002656</t>
        </is>
      </c>
      <c r="AZ1040" t="inlineStr">
        <is>
          <t>BOOK</t>
        </is>
      </c>
      <c r="BB1040" t="inlineStr">
        <is>
          <t>9780805337020</t>
        </is>
      </c>
      <c r="BC1040" t="inlineStr">
        <is>
          <t>32285001771137</t>
        </is>
      </c>
      <c r="BD1040" t="inlineStr">
        <is>
          <t>893514963</t>
        </is>
      </c>
    </row>
    <row r="1041">
      <c r="A1041" t="inlineStr">
        <is>
          <t>No</t>
        </is>
      </c>
      <c r="B1041" t="inlineStr">
        <is>
          <t>QD462 .H68 2004</t>
        </is>
      </c>
      <c r="C1041" t="inlineStr">
        <is>
          <t>0                      QD 0462000H  68          2004</t>
        </is>
      </c>
      <c r="D1041" t="inlineStr">
        <is>
          <t>Fundamentals of quantum chemistry / James E. House.</t>
        </is>
      </c>
      <c r="F1041" t="inlineStr">
        <is>
          <t>No</t>
        </is>
      </c>
      <c r="G1041" t="inlineStr">
        <is>
          <t>1</t>
        </is>
      </c>
      <c r="H1041" t="inlineStr">
        <is>
          <t>No</t>
        </is>
      </c>
      <c r="I1041" t="inlineStr">
        <is>
          <t>No</t>
        </is>
      </c>
      <c r="J1041" t="inlineStr">
        <is>
          <t>0</t>
        </is>
      </c>
      <c r="K1041" t="inlineStr">
        <is>
          <t>House, J. E.</t>
        </is>
      </c>
      <c r="L1041" t="inlineStr">
        <is>
          <t>San Diego, Calif. : Academic Press, c2004.</t>
        </is>
      </c>
      <c r="M1041" t="inlineStr">
        <is>
          <t>2004</t>
        </is>
      </c>
      <c r="N1041" t="inlineStr">
        <is>
          <t>2nd ed.</t>
        </is>
      </c>
      <c r="O1041" t="inlineStr">
        <is>
          <t>eng</t>
        </is>
      </c>
      <c r="P1041" t="inlineStr">
        <is>
          <t>cau</t>
        </is>
      </c>
      <c r="Q1041" t="inlineStr">
        <is>
          <t>Complimentary science series</t>
        </is>
      </c>
      <c r="R1041" t="inlineStr">
        <is>
          <t xml:space="preserve">QD </t>
        </is>
      </c>
      <c r="S1041" t="n">
        <v>5</v>
      </c>
      <c r="T1041" t="n">
        <v>5</v>
      </c>
      <c r="U1041" t="inlineStr">
        <is>
          <t>2009-03-17</t>
        </is>
      </c>
      <c r="V1041" t="inlineStr">
        <is>
          <t>2009-03-17</t>
        </is>
      </c>
      <c r="W1041" t="inlineStr">
        <is>
          <t>2004-03-24</t>
        </is>
      </c>
      <c r="X1041" t="inlineStr">
        <is>
          <t>2004-03-24</t>
        </is>
      </c>
      <c r="Y1041" t="n">
        <v>307</v>
      </c>
      <c r="Z1041" t="n">
        <v>235</v>
      </c>
      <c r="AA1041" t="n">
        <v>235</v>
      </c>
      <c r="AB1041" t="n">
        <v>5</v>
      </c>
      <c r="AC1041" t="n">
        <v>5</v>
      </c>
      <c r="AD1041" t="n">
        <v>11</v>
      </c>
      <c r="AE1041" t="n">
        <v>11</v>
      </c>
      <c r="AF1041" t="n">
        <v>3</v>
      </c>
      <c r="AG1041" t="n">
        <v>3</v>
      </c>
      <c r="AH1041" t="n">
        <v>2</v>
      </c>
      <c r="AI1041" t="n">
        <v>2</v>
      </c>
      <c r="AJ1041" t="n">
        <v>6</v>
      </c>
      <c r="AK1041" t="n">
        <v>6</v>
      </c>
      <c r="AL1041" t="n">
        <v>4</v>
      </c>
      <c r="AM1041" t="n">
        <v>4</v>
      </c>
      <c r="AN1041" t="n">
        <v>0</v>
      </c>
      <c r="AO1041" t="n">
        <v>0</v>
      </c>
      <c r="AP1041" t="inlineStr">
        <is>
          <t>No</t>
        </is>
      </c>
      <c r="AQ1041" t="inlineStr">
        <is>
          <t>No</t>
        </is>
      </c>
      <c r="AS1041">
        <f>HYPERLINK("https://creighton-primo.hosted.exlibrisgroup.com/primo-explore/search?tab=default_tab&amp;search_scope=EVERYTHING&amp;vid=01CRU&amp;lang=en_US&amp;offset=0&amp;query=any,contains,991004242799702656","Catalog Record")</f>
        <v/>
      </c>
      <c r="AT1041">
        <f>HYPERLINK("http://www.worldcat.org/oclc/54669986","WorldCat Record")</f>
        <v/>
      </c>
      <c r="AU1041" t="inlineStr">
        <is>
          <t>9657431110:eng</t>
        </is>
      </c>
      <c r="AV1041" t="inlineStr">
        <is>
          <t>54669986</t>
        </is>
      </c>
      <c r="AW1041" t="inlineStr">
        <is>
          <t>991004242799702656</t>
        </is>
      </c>
      <c r="AX1041" t="inlineStr">
        <is>
          <t>991004242799702656</t>
        </is>
      </c>
      <c r="AY1041" t="inlineStr">
        <is>
          <t>2271014330002656</t>
        </is>
      </c>
      <c r="AZ1041" t="inlineStr">
        <is>
          <t>BOOK</t>
        </is>
      </c>
      <c r="BB1041" t="inlineStr">
        <is>
          <t>9780123567710</t>
        </is>
      </c>
      <c r="BC1041" t="inlineStr">
        <is>
          <t>32285004896816</t>
        </is>
      </c>
      <c r="BD1041" t="inlineStr">
        <is>
          <t>893624504</t>
        </is>
      </c>
    </row>
    <row r="1042">
      <c r="A1042" t="inlineStr">
        <is>
          <t>No</t>
        </is>
      </c>
      <c r="B1042" t="inlineStr">
        <is>
          <t>QD462 .M37 1986</t>
        </is>
      </c>
      <c r="C1042" t="inlineStr">
        <is>
          <t>0                      QD 0462000M  37          1986</t>
        </is>
      </c>
      <c r="D1042" t="inlineStr">
        <is>
          <t>Quantum chemistry of atoms and molecules / Philip S.C. Matthews.</t>
        </is>
      </c>
      <c r="F1042" t="inlineStr">
        <is>
          <t>No</t>
        </is>
      </c>
      <c r="G1042" t="inlineStr">
        <is>
          <t>1</t>
        </is>
      </c>
      <c r="H1042" t="inlineStr">
        <is>
          <t>No</t>
        </is>
      </c>
      <c r="I1042" t="inlineStr">
        <is>
          <t>No</t>
        </is>
      </c>
      <c r="J1042" t="inlineStr">
        <is>
          <t>0</t>
        </is>
      </c>
      <c r="K1042" t="inlineStr">
        <is>
          <t>Matthews, Philip S. C.</t>
        </is>
      </c>
      <c r="L1042" t="inlineStr">
        <is>
          <t>Cambridge [Cambridgeshire] ; New York : Cambridge University Press, 1986.</t>
        </is>
      </c>
      <c r="M1042" t="inlineStr">
        <is>
          <t>1986</t>
        </is>
      </c>
      <c r="O1042" t="inlineStr">
        <is>
          <t>eng</t>
        </is>
      </c>
      <c r="P1042" t="inlineStr">
        <is>
          <t>enk</t>
        </is>
      </c>
      <c r="R1042" t="inlineStr">
        <is>
          <t xml:space="preserve">QD </t>
        </is>
      </c>
      <c r="S1042" t="n">
        <v>16</v>
      </c>
      <c r="T1042" t="n">
        <v>16</v>
      </c>
      <c r="U1042" t="inlineStr">
        <is>
          <t>1997-10-05</t>
        </is>
      </c>
      <c r="V1042" t="inlineStr">
        <is>
          <t>1997-10-05</t>
        </is>
      </c>
      <c r="W1042" t="inlineStr">
        <is>
          <t>1990-08-15</t>
        </is>
      </c>
      <c r="X1042" t="inlineStr">
        <is>
          <t>1990-08-15</t>
        </is>
      </c>
      <c r="Y1042" t="n">
        <v>546</v>
      </c>
      <c r="Z1042" t="n">
        <v>436</v>
      </c>
      <c r="AA1042" t="n">
        <v>443</v>
      </c>
      <c r="AB1042" t="n">
        <v>5</v>
      </c>
      <c r="AC1042" t="n">
        <v>5</v>
      </c>
      <c r="AD1042" t="n">
        <v>23</v>
      </c>
      <c r="AE1042" t="n">
        <v>23</v>
      </c>
      <c r="AF1042" t="n">
        <v>10</v>
      </c>
      <c r="AG1042" t="n">
        <v>10</v>
      </c>
      <c r="AH1042" t="n">
        <v>3</v>
      </c>
      <c r="AI1042" t="n">
        <v>3</v>
      </c>
      <c r="AJ1042" t="n">
        <v>12</v>
      </c>
      <c r="AK1042" t="n">
        <v>12</v>
      </c>
      <c r="AL1042" t="n">
        <v>4</v>
      </c>
      <c r="AM1042" t="n">
        <v>4</v>
      </c>
      <c r="AN1042" t="n">
        <v>0</v>
      </c>
      <c r="AO1042" t="n">
        <v>0</v>
      </c>
      <c r="AP1042" t="inlineStr">
        <is>
          <t>No</t>
        </is>
      </c>
      <c r="AQ1042" t="inlineStr">
        <is>
          <t>No</t>
        </is>
      </c>
      <c r="AS1042">
        <f>HYPERLINK("https://creighton-primo.hosted.exlibrisgroup.com/primo-explore/search?tab=default_tab&amp;search_scope=EVERYTHING&amp;vid=01CRU&amp;lang=en_US&amp;offset=0&amp;query=any,contains,991000673269702656","Catalog Record")</f>
        <v/>
      </c>
      <c r="AT1042">
        <f>HYPERLINK("http://www.worldcat.org/oclc/12341985","WorldCat Record")</f>
        <v/>
      </c>
      <c r="AU1042" t="inlineStr">
        <is>
          <t>5263086:eng</t>
        </is>
      </c>
      <c r="AV1042" t="inlineStr">
        <is>
          <t>12341985</t>
        </is>
      </c>
      <c r="AW1042" t="inlineStr">
        <is>
          <t>991000673269702656</t>
        </is>
      </c>
      <c r="AX1042" t="inlineStr">
        <is>
          <t>991000673269702656</t>
        </is>
      </c>
      <c r="AY1042" t="inlineStr">
        <is>
          <t>2266730420002656</t>
        </is>
      </c>
      <c r="AZ1042" t="inlineStr">
        <is>
          <t>BOOK</t>
        </is>
      </c>
      <c r="BB1042" t="inlineStr">
        <is>
          <t>9780521270250</t>
        </is>
      </c>
      <c r="BC1042" t="inlineStr">
        <is>
          <t>32285000268929</t>
        </is>
      </c>
      <c r="BD1042" t="inlineStr">
        <is>
          <t>893521894</t>
        </is>
      </c>
    </row>
    <row r="1043">
      <c r="A1043" t="inlineStr">
        <is>
          <t>No</t>
        </is>
      </c>
      <c r="B1043" t="inlineStr">
        <is>
          <t>QD462 .R37 1983</t>
        </is>
      </c>
      <c r="C1043" t="inlineStr">
        <is>
          <t>0                      QD 0462000R  37          1983</t>
        </is>
      </c>
      <c r="D1043" t="inlineStr">
        <is>
          <t>Ab initio molecular orbital calculations for chemists / by W. Graham Richards and David L. Cooper.</t>
        </is>
      </c>
      <c r="F1043" t="inlineStr">
        <is>
          <t>No</t>
        </is>
      </c>
      <c r="G1043" t="inlineStr">
        <is>
          <t>1</t>
        </is>
      </c>
      <c r="H1043" t="inlineStr">
        <is>
          <t>No</t>
        </is>
      </c>
      <c r="I1043" t="inlineStr">
        <is>
          <t>No</t>
        </is>
      </c>
      <c r="J1043" t="inlineStr">
        <is>
          <t>0</t>
        </is>
      </c>
      <c r="K1043" t="inlineStr">
        <is>
          <t>Richards, W. G. (William Graham)</t>
        </is>
      </c>
      <c r="L1043" t="inlineStr">
        <is>
          <t>Oxford : Clarendon Press, 1983.</t>
        </is>
      </c>
      <c r="M1043" t="inlineStr">
        <is>
          <t>1983</t>
        </is>
      </c>
      <c r="N1043" t="inlineStr">
        <is>
          <t>2nd ed.</t>
        </is>
      </c>
      <c r="O1043" t="inlineStr">
        <is>
          <t>eng</t>
        </is>
      </c>
      <c r="P1043" t="inlineStr">
        <is>
          <t>enk</t>
        </is>
      </c>
      <c r="Q1043" t="inlineStr">
        <is>
          <t>Oxford science publications</t>
        </is>
      </c>
      <c r="R1043" t="inlineStr">
        <is>
          <t xml:space="preserve">QD </t>
        </is>
      </c>
      <c r="S1043" t="n">
        <v>12</v>
      </c>
      <c r="T1043" t="n">
        <v>12</v>
      </c>
      <c r="U1043" t="inlineStr">
        <is>
          <t>1998-10-23</t>
        </is>
      </c>
      <c r="V1043" t="inlineStr">
        <is>
          <t>1998-10-23</t>
        </is>
      </c>
      <c r="W1043" t="inlineStr">
        <is>
          <t>1990-08-15</t>
        </is>
      </c>
      <c r="X1043" t="inlineStr">
        <is>
          <t>1990-08-15</t>
        </is>
      </c>
      <c r="Y1043" t="n">
        <v>324</v>
      </c>
      <c r="Z1043" t="n">
        <v>225</v>
      </c>
      <c r="AA1043" t="n">
        <v>365</v>
      </c>
      <c r="AB1043" t="n">
        <v>2</v>
      </c>
      <c r="AC1043" t="n">
        <v>3</v>
      </c>
      <c r="AD1043" t="n">
        <v>9</v>
      </c>
      <c r="AE1043" t="n">
        <v>14</v>
      </c>
      <c r="AF1043" t="n">
        <v>3</v>
      </c>
      <c r="AG1043" t="n">
        <v>4</v>
      </c>
      <c r="AH1043" t="n">
        <v>1</v>
      </c>
      <c r="AI1043" t="n">
        <v>2</v>
      </c>
      <c r="AJ1043" t="n">
        <v>6</v>
      </c>
      <c r="AK1043" t="n">
        <v>8</v>
      </c>
      <c r="AL1043" t="n">
        <v>1</v>
      </c>
      <c r="AM1043" t="n">
        <v>2</v>
      </c>
      <c r="AN1043" t="n">
        <v>0</v>
      </c>
      <c r="AO1043" t="n">
        <v>0</v>
      </c>
      <c r="AP1043" t="inlineStr">
        <is>
          <t>No</t>
        </is>
      </c>
      <c r="AQ1043" t="inlineStr">
        <is>
          <t>Yes</t>
        </is>
      </c>
      <c r="AR1043">
        <f>HYPERLINK("http://catalog.hathitrust.org/Record/000111186","HathiTrust Record")</f>
        <v/>
      </c>
      <c r="AS1043">
        <f>HYPERLINK("https://creighton-primo.hosted.exlibrisgroup.com/primo-explore/search?tab=default_tab&amp;search_scope=EVERYTHING&amp;vid=01CRU&amp;lang=en_US&amp;offset=0&amp;query=any,contains,991000025969702656","Catalog Record")</f>
        <v/>
      </c>
      <c r="AT1043">
        <f>HYPERLINK("http://www.worldcat.org/oclc/8589166","WorldCat Record")</f>
        <v/>
      </c>
      <c r="AU1043" t="inlineStr">
        <is>
          <t>416346:eng</t>
        </is>
      </c>
      <c r="AV1043" t="inlineStr">
        <is>
          <t>8589166</t>
        </is>
      </c>
      <c r="AW1043" t="inlineStr">
        <is>
          <t>991000025969702656</t>
        </is>
      </c>
      <c r="AX1043" t="inlineStr">
        <is>
          <t>991000025969702656</t>
        </is>
      </c>
      <c r="AY1043" t="inlineStr">
        <is>
          <t>2254940820002656</t>
        </is>
      </c>
      <c r="AZ1043" t="inlineStr">
        <is>
          <t>BOOK</t>
        </is>
      </c>
      <c r="BB1043" t="inlineStr">
        <is>
          <t>9780198553694</t>
        </is>
      </c>
      <c r="BC1043" t="inlineStr">
        <is>
          <t>32285000268937</t>
        </is>
      </c>
      <c r="BD1043" t="inlineStr">
        <is>
          <t>893890334</t>
        </is>
      </c>
    </row>
    <row r="1044">
      <c r="A1044" t="inlineStr">
        <is>
          <t>No</t>
        </is>
      </c>
      <c r="B1044" t="inlineStr">
        <is>
          <t>QD462 .S33 2002</t>
        </is>
      </c>
      <c r="C1044" t="inlineStr">
        <is>
          <t>0                      QD 0462000S  33          2002</t>
        </is>
      </c>
      <c r="D1044" t="inlineStr">
        <is>
          <t>Quantum mechanics in chemistry / George C. Schatz, Mark A. Ratner.</t>
        </is>
      </c>
      <c r="F1044" t="inlineStr">
        <is>
          <t>No</t>
        </is>
      </c>
      <c r="G1044" t="inlineStr">
        <is>
          <t>1</t>
        </is>
      </c>
      <c r="H1044" t="inlineStr">
        <is>
          <t>No</t>
        </is>
      </c>
      <c r="I1044" t="inlineStr">
        <is>
          <t>No</t>
        </is>
      </c>
      <c r="J1044" t="inlineStr">
        <is>
          <t>0</t>
        </is>
      </c>
      <c r="K1044" t="inlineStr">
        <is>
          <t>Schatz, George C., 1949-</t>
        </is>
      </c>
      <c r="L1044" t="inlineStr">
        <is>
          <t>Mineola, NY : Dover Publications, 2002.</t>
        </is>
      </c>
      <c r="M1044" t="inlineStr">
        <is>
          <t>2002</t>
        </is>
      </c>
      <c r="N1044" t="inlineStr">
        <is>
          <t>Dover ed.</t>
        </is>
      </c>
      <c r="O1044" t="inlineStr">
        <is>
          <t>eng</t>
        </is>
      </c>
      <c r="P1044" t="inlineStr">
        <is>
          <t>nyu</t>
        </is>
      </c>
      <c r="R1044" t="inlineStr">
        <is>
          <t xml:space="preserve">QD </t>
        </is>
      </c>
      <c r="S1044" t="n">
        <v>3</v>
      </c>
      <c r="T1044" t="n">
        <v>3</v>
      </c>
      <c r="U1044" t="inlineStr">
        <is>
          <t>2005-09-12</t>
        </is>
      </c>
      <c r="V1044" t="inlineStr">
        <is>
          <t>2005-09-12</t>
        </is>
      </c>
      <c r="W1044" t="inlineStr">
        <is>
          <t>2002-02-27</t>
        </is>
      </c>
      <c r="X1044" t="inlineStr">
        <is>
          <t>2002-02-27</t>
        </is>
      </c>
      <c r="Y1044" t="n">
        <v>99</v>
      </c>
      <c r="Z1044" t="n">
        <v>64</v>
      </c>
      <c r="AA1044" t="n">
        <v>378</v>
      </c>
      <c r="AB1044" t="n">
        <v>1</v>
      </c>
      <c r="AC1044" t="n">
        <v>2</v>
      </c>
      <c r="AD1044" t="n">
        <v>1</v>
      </c>
      <c r="AE1044" t="n">
        <v>6</v>
      </c>
      <c r="AF1044" t="n">
        <v>0</v>
      </c>
      <c r="AG1044" t="n">
        <v>1</v>
      </c>
      <c r="AH1044" t="n">
        <v>1</v>
      </c>
      <c r="AI1044" t="n">
        <v>2</v>
      </c>
      <c r="AJ1044" t="n">
        <v>1</v>
      </c>
      <c r="AK1044" t="n">
        <v>4</v>
      </c>
      <c r="AL1044" t="n">
        <v>0</v>
      </c>
      <c r="AM1044" t="n">
        <v>1</v>
      </c>
      <c r="AN1044" t="n">
        <v>0</v>
      </c>
      <c r="AO1044" t="n">
        <v>0</v>
      </c>
      <c r="AP1044" t="inlineStr">
        <is>
          <t>No</t>
        </is>
      </c>
      <c r="AQ1044" t="inlineStr">
        <is>
          <t>No</t>
        </is>
      </c>
      <c r="AS1044">
        <f>HYPERLINK("https://creighton-primo.hosted.exlibrisgroup.com/primo-explore/search?tab=default_tab&amp;search_scope=EVERYTHING&amp;vid=01CRU&amp;lang=en_US&amp;offset=0&amp;query=any,contains,991003744439702656","Catalog Record")</f>
        <v/>
      </c>
      <c r="AT1044">
        <f>HYPERLINK("http://www.worldcat.org/oclc/47831419","WorldCat Record")</f>
        <v/>
      </c>
      <c r="AU1044" t="inlineStr">
        <is>
          <t>327005:eng</t>
        </is>
      </c>
      <c r="AV1044" t="inlineStr">
        <is>
          <t>47831419</t>
        </is>
      </c>
      <c r="AW1044" t="inlineStr">
        <is>
          <t>991003744439702656</t>
        </is>
      </c>
      <c r="AX1044" t="inlineStr">
        <is>
          <t>991003744439702656</t>
        </is>
      </c>
      <c r="AY1044" t="inlineStr">
        <is>
          <t>2261692290002656</t>
        </is>
      </c>
      <c r="AZ1044" t="inlineStr">
        <is>
          <t>BOOK</t>
        </is>
      </c>
      <c r="BB1044" t="inlineStr">
        <is>
          <t>9780486420035</t>
        </is>
      </c>
      <c r="BC1044" t="inlineStr">
        <is>
          <t>32285004458294</t>
        </is>
      </c>
      <c r="BD1044" t="inlineStr">
        <is>
          <t>893894066</t>
        </is>
      </c>
    </row>
    <row r="1045">
      <c r="A1045" t="inlineStr">
        <is>
          <t>No</t>
        </is>
      </c>
      <c r="B1045" t="inlineStr">
        <is>
          <t>QD462.6.D38 Q35 2002</t>
        </is>
      </c>
      <c r="C1045" t="inlineStr">
        <is>
          <t>0                      QD 0462600D  38                 Q  35          2002</t>
        </is>
      </c>
      <c r="D1045" t="inlineStr">
        <is>
          <t>Computational quantum chemistry : an interactive guide to basis set theory / Charles M. Quinn.</t>
        </is>
      </c>
      <c r="F1045" t="inlineStr">
        <is>
          <t>No</t>
        </is>
      </c>
      <c r="G1045" t="inlineStr">
        <is>
          <t>1</t>
        </is>
      </c>
      <c r="H1045" t="inlineStr">
        <is>
          <t>No</t>
        </is>
      </c>
      <c r="I1045" t="inlineStr">
        <is>
          <t>No</t>
        </is>
      </c>
      <c r="J1045" t="inlineStr">
        <is>
          <t>0</t>
        </is>
      </c>
      <c r="K1045" t="inlineStr">
        <is>
          <t>Quinn, Charles M.</t>
        </is>
      </c>
      <c r="L1045" t="inlineStr">
        <is>
          <t>San Diego, Calif. : Academic Press, c2002.</t>
        </is>
      </c>
      <c r="M1045" t="inlineStr">
        <is>
          <t>2002</t>
        </is>
      </c>
      <c r="O1045" t="inlineStr">
        <is>
          <t>eng</t>
        </is>
      </c>
      <c r="P1045" t="inlineStr">
        <is>
          <t>cau</t>
        </is>
      </c>
      <c r="R1045" t="inlineStr">
        <is>
          <t xml:space="preserve">QD </t>
        </is>
      </c>
      <c r="S1045" t="n">
        <v>1</v>
      </c>
      <c r="T1045" t="n">
        <v>1</v>
      </c>
      <c r="U1045" t="inlineStr">
        <is>
          <t>2004-01-08</t>
        </is>
      </c>
      <c r="V1045" t="inlineStr">
        <is>
          <t>2004-01-08</t>
        </is>
      </c>
      <c r="W1045" t="inlineStr">
        <is>
          <t>2003-03-19</t>
        </is>
      </c>
      <c r="X1045" t="inlineStr">
        <is>
          <t>2003-03-19</t>
        </is>
      </c>
      <c r="Y1045" t="n">
        <v>194</v>
      </c>
      <c r="Z1045" t="n">
        <v>138</v>
      </c>
      <c r="AA1045" t="n">
        <v>923</v>
      </c>
      <c r="AB1045" t="n">
        <v>1</v>
      </c>
      <c r="AC1045" t="n">
        <v>14</v>
      </c>
      <c r="AD1045" t="n">
        <v>3</v>
      </c>
      <c r="AE1045" t="n">
        <v>32</v>
      </c>
      <c r="AF1045" t="n">
        <v>0</v>
      </c>
      <c r="AG1045" t="n">
        <v>8</v>
      </c>
      <c r="AH1045" t="n">
        <v>1</v>
      </c>
      <c r="AI1045" t="n">
        <v>6</v>
      </c>
      <c r="AJ1045" t="n">
        <v>3</v>
      </c>
      <c r="AK1045" t="n">
        <v>10</v>
      </c>
      <c r="AL1045" t="n">
        <v>0</v>
      </c>
      <c r="AM1045" t="n">
        <v>12</v>
      </c>
      <c r="AN1045" t="n">
        <v>0</v>
      </c>
      <c r="AO1045" t="n">
        <v>1</v>
      </c>
      <c r="AP1045" t="inlineStr">
        <is>
          <t>No</t>
        </is>
      </c>
      <c r="AQ1045" t="inlineStr">
        <is>
          <t>No</t>
        </is>
      </c>
      <c r="AS1045">
        <f>HYPERLINK("https://creighton-primo.hosted.exlibrisgroup.com/primo-explore/search?tab=default_tab&amp;search_scope=EVERYTHING&amp;vid=01CRU&amp;lang=en_US&amp;offset=0&amp;query=any,contains,991003998629702656","Catalog Record")</f>
        <v/>
      </c>
      <c r="AT1045">
        <f>HYPERLINK("http://www.worldcat.org/oclc/49550567","WorldCat Record")</f>
        <v/>
      </c>
      <c r="AU1045" t="inlineStr">
        <is>
          <t>800879642:eng</t>
        </is>
      </c>
      <c r="AV1045" t="inlineStr">
        <is>
          <t>49550567</t>
        </is>
      </c>
      <c r="AW1045" t="inlineStr">
        <is>
          <t>991003998629702656</t>
        </is>
      </c>
      <c r="AX1045" t="inlineStr">
        <is>
          <t>991003998629702656</t>
        </is>
      </c>
      <c r="AY1045" t="inlineStr">
        <is>
          <t>2263915070002656</t>
        </is>
      </c>
      <c r="AZ1045" t="inlineStr">
        <is>
          <t>BOOK</t>
        </is>
      </c>
      <c r="BB1045" t="inlineStr">
        <is>
          <t>9780125696821</t>
        </is>
      </c>
      <c r="BC1045" t="inlineStr">
        <is>
          <t>32285004709381</t>
        </is>
      </c>
      <c r="BD1045" t="inlineStr">
        <is>
          <t>893722206</t>
        </is>
      </c>
    </row>
    <row r="1046">
      <c r="A1046" t="inlineStr">
        <is>
          <t>No</t>
        </is>
      </c>
      <c r="B1046" t="inlineStr">
        <is>
          <t>QD462.6.M39 W3 2006</t>
        </is>
      </c>
      <c r="C1046" t="inlineStr">
        <is>
          <t>0                      QD 0462600M  39                 W  3           2006</t>
        </is>
      </c>
      <c r="D1046" t="inlineStr">
        <is>
          <t>The bell that rings light : a primer in quantum mechanics and chemical bonding / Dorothy Wallace &amp; Joseph J. BelBruno.</t>
        </is>
      </c>
      <c r="F1046" t="inlineStr">
        <is>
          <t>No</t>
        </is>
      </c>
      <c r="G1046" t="inlineStr">
        <is>
          <t>1</t>
        </is>
      </c>
      <c r="H1046" t="inlineStr">
        <is>
          <t>No</t>
        </is>
      </c>
      <c r="I1046" t="inlineStr">
        <is>
          <t>No</t>
        </is>
      </c>
      <c r="J1046" t="inlineStr">
        <is>
          <t>0</t>
        </is>
      </c>
      <c r="K1046" t="inlineStr">
        <is>
          <t>Wallace, Dorothy (Dorothy I.)</t>
        </is>
      </c>
      <c r="L1046" t="inlineStr">
        <is>
          <t>Singapore ; Hackensack, NJ : World Scientific, c2006.</t>
        </is>
      </c>
      <c r="M1046" t="inlineStr">
        <is>
          <t>2006</t>
        </is>
      </c>
      <c r="O1046" t="inlineStr">
        <is>
          <t>eng</t>
        </is>
      </c>
      <c r="P1046" t="inlineStr">
        <is>
          <t xml:space="preserve">si </t>
        </is>
      </c>
      <c r="Q1046" t="inlineStr">
        <is>
          <t>Mathematics across the curriculum, 1793-3145 ; v. 1</t>
        </is>
      </c>
      <c r="R1046" t="inlineStr">
        <is>
          <t xml:space="preserve">QD </t>
        </is>
      </c>
      <c r="S1046" t="n">
        <v>3</v>
      </c>
      <c r="T1046" t="n">
        <v>3</v>
      </c>
      <c r="U1046" t="inlineStr">
        <is>
          <t>2007-12-18</t>
        </is>
      </c>
      <c r="V1046" t="inlineStr">
        <is>
          <t>2007-12-18</t>
        </is>
      </c>
      <c r="W1046" t="inlineStr">
        <is>
          <t>2007-12-18</t>
        </is>
      </c>
      <c r="X1046" t="inlineStr">
        <is>
          <t>2007-12-18</t>
        </is>
      </c>
      <c r="Y1046" t="n">
        <v>271</v>
      </c>
      <c r="Z1046" t="n">
        <v>210</v>
      </c>
      <c r="AA1046" t="n">
        <v>210</v>
      </c>
      <c r="AB1046" t="n">
        <v>3</v>
      </c>
      <c r="AC1046" t="n">
        <v>3</v>
      </c>
      <c r="AD1046" t="n">
        <v>12</v>
      </c>
      <c r="AE1046" t="n">
        <v>12</v>
      </c>
      <c r="AF1046" t="n">
        <v>5</v>
      </c>
      <c r="AG1046" t="n">
        <v>5</v>
      </c>
      <c r="AH1046" t="n">
        <v>1</v>
      </c>
      <c r="AI1046" t="n">
        <v>1</v>
      </c>
      <c r="AJ1046" t="n">
        <v>9</v>
      </c>
      <c r="AK1046" t="n">
        <v>9</v>
      </c>
      <c r="AL1046" t="n">
        <v>2</v>
      </c>
      <c r="AM1046" t="n">
        <v>2</v>
      </c>
      <c r="AN1046" t="n">
        <v>0</v>
      </c>
      <c r="AO1046" t="n">
        <v>0</v>
      </c>
      <c r="AP1046" t="inlineStr">
        <is>
          <t>No</t>
        </is>
      </c>
      <c r="AQ1046" t="inlineStr">
        <is>
          <t>No</t>
        </is>
      </c>
      <c r="AS1046">
        <f>HYPERLINK("https://creighton-primo.hosted.exlibrisgroup.com/primo-explore/search?tab=default_tab&amp;search_scope=EVERYTHING&amp;vid=01CRU&amp;lang=en_US&amp;offset=0&amp;query=any,contains,991005149729702656","Catalog Record")</f>
        <v/>
      </c>
      <c r="AT1046">
        <f>HYPERLINK("http://www.worldcat.org/oclc/76910143","WorldCat Record")</f>
        <v/>
      </c>
      <c r="AU1046" t="inlineStr">
        <is>
          <t>63132316:eng</t>
        </is>
      </c>
      <c r="AV1046" t="inlineStr">
        <is>
          <t>76910143</t>
        </is>
      </c>
      <c r="AW1046" t="inlineStr">
        <is>
          <t>991005149729702656</t>
        </is>
      </c>
      <c r="AX1046" t="inlineStr">
        <is>
          <t>991005149729702656</t>
        </is>
      </c>
      <c r="AY1046" t="inlineStr">
        <is>
          <t>2270820640002656</t>
        </is>
      </c>
      <c r="AZ1046" t="inlineStr">
        <is>
          <t>BOOK</t>
        </is>
      </c>
      <c r="BB1046" t="inlineStr">
        <is>
          <t>9789812567055</t>
        </is>
      </c>
      <c r="BC1046" t="inlineStr">
        <is>
          <t>32285005374201</t>
        </is>
      </c>
      <c r="BD1046" t="inlineStr">
        <is>
          <t>893619543</t>
        </is>
      </c>
    </row>
    <row r="1047">
      <c r="A1047" t="inlineStr">
        <is>
          <t>No</t>
        </is>
      </c>
      <c r="B1047" t="inlineStr">
        <is>
          <t>QD466 .C875 1989</t>
        </is>
      </c>
      <c r="C1047" t="inlineStr">
        <is>
          <t>0                      QD 0466000C  875         1989</t>
        </is>
      </c>
      <c r="D1047" t="inlineStr">
        <is>
          <t>The elements : their origin, abundance, and distribution / P.A. Cox.</t>
        </is>
      </c>
      <c r="F1047" t="inlineStr">
        <is>
          <t>No</t>
        </is>
      </c>
      <c r="G1047" t="inlineStr">
        <is>
          <t>1</t>
        </is>
      </c>
      <c r="H1047" t="inlineStr">
        <is>
          <t>No</t>
        </is>
      </c>
      <c r="I1047" t="inlineStr">
        <is>
          <t>No</t>
        </is>
      </c>
      <c r="J1047" t="inlineStr">
        <is>
          <t>0</t>
        </is>
      </c>
      <c r="K1047" t="inlineStr">
        <is>
          <t>Cox, P. A.</t>
        </is>
      </c>
      <c r="L1047" t="inlineStr">
        <is>
          <t>Oxford [England] ; New York : Oxford University Press, 1989.</t>
        </is>
      </c>
      <c r="M1047" t="inlineStr">
        <is>
          <t>1989</t>
        </is>
      </c>
      <c r="O1047" t="inlineStr">
        <is>
          <t>eng</t>
        </is>
      </c>
      <c r="P1047" t="inlineStr">
        <is>
          <t>enk</t>
        </is>
      </c>
      <c r="R1047" t="inlineStr">
        <is>
          <t xml:space="preserve">QD </t>
        </is>
      </c>
      <c r="S1047" t="n">
        <v>5</v>
      </c>
      <c r="T1047" t="n">
        <v>5</v>
      </c>
      <c r="U1047" t="inlineStr">
        <is>
          <t>1994-11-30</t>
        </is>
      </c>
      <c r="V1047" t="inlineStr">
        <is>
          <t>1994-11-30</t>
        </is>
      </c>
      <c r="W1047" t="inlineStr">
        <is>
          <t>1990-06-27</t>
        </is>
      </c>
      <c r="X1047" t="inlineStr">
        <is>
          <t>1990-06-27</t>
        </is>
      </c>
      <c r="Y1047" t="n">
        <v>792</v>
      </c>
      <c r="Z1047" t="n">
        <v>629</v>
      </c>
      <c r="AA1047" t="n">
        <v>692</v>
      </c>
      <c r="AB1047" t="n">
        <v>6</v>
      </c>
      <c r="AC1047" t="n">
        <v>7</v>
      </c>
      <c r="AD1047" t="n">
        <v>23</v>
      </c>
      <c r="AE1047" t="n">
        <v>28</v>
      </c>
      <c r="AF1047" t="n">
        <v>7</v>
      </c>
      <c r="AG1047" t="n">
        <v>10</v>
      </c>
      <c r="AH1047" t="n">
        <v>3</v>
      </c>
      <c r="AI1047" t="n">
        <v>3</v>
      </c>
      <c r="AJ1047" t="n">
        <v>14</v>
      </c>
      <c r="AK1047" t="n">
        <v>16</v>
      </c>
      <c r="AL1047" t="n">
        <v>5</v>
      </c>
      <c r="AM1047" t="n">
        <v>6</v>
      </c>
      <c r="AN1047" t="n">
        <v>0</v>
      </c>
      <c r="AO1047" t="n">
        <v>0</v>
      </c>
      <c r="AP1047" t="inlineStr">
        <is>
          <t>No</t>
        </is>
      </c>
      <c r="AQ1047" t="inlineStr">
        <is>
          <t>No</t>
        </is>
      </c>
      <c r="AS1047">
        <f>HYPERLINK("https://creighton-primo.hosted.exlibrisgroup.com/primo-explore/search?tab=default_tab&amp;search_scope=EVERYTHING&amp;vid=01CRU&amp;lang=en_US&amp;offset=0&amp;query=any,contains,991001404979702656","Catalog Record")</f>
        <v/>
      </c>
      <c r="AT1047">
        <f>HYPERLINK("http://www.worldcat.org/oclc/18835112","WorldCat Record")</f>
        <v/>
      </c>
      <c r="AU1047" t="inlineStr">
        <is>
          <t>18989614:eng</t>
        </is>
      </c>
      <c r="AV1047" t="inlineStr">
        <is>
          <t>18835112</t>
        </is>
      </c>
      <c r="AW1047" t="inlineStr">
        <is>
          <t>991001404979702656</t>
        </is>
      </c>
      <c r="AX1047" t="inlineStr">
        <is>
          <t>991001404979702656</t>
        </is>
      </c>
      <c r="AY1047" t="inlineStr">
        <is>
          <t>2259534460002656</t>
        </is>
      </c>
      <c r="AZ1047" t="inlineStr">
        <is>
          <t>BOOK</t>
        </is>
      </c>
      <c r="BB1047" t="inlineStr">
        <is>
          <t>9780198552758</t>
        </is>
      </c>
      <c r="BC1047" t="inlineStr">
        <is>
          <t>32285000205566</t>
        </is>
      </c>
      <c r="BD1047" t="inlineStr">
        <is>
          <t>893885284</t>
        </is>
      </c>
    </row>
    <row r="1048">
      <c r="A1048" t="inlineStr">
        <is>
          <t>No</t>
        </is>
      </c>
      <c r="B1048" t="inlineStr">
        <is>
          <t>QD466 .L37 1978</t>
        </is>
      </c>
      <c r="C1048" t="inlineStr">
        <is>
          <t>0                      QD 0466000L  37          1978</t>
        </is>
      </c>
      <c r="D1048" t="inlineStr">
        <is>
          <t>Table of isotopes.</t>
        </is>
      </c>
      <c r="F1048" t="inlineStr">
        <is>
          <t>No</t>
        </is>
      </c>
      <c r="G1048" t="inlineStr">
        <is>
          <t>1</t>
        </is>
      </c>
      <c r="H1048" t="inlineStr">
        <is>
          <t>No</t>
        </is>
      </c>
      <c r="I1048" t="inlineStr">
        <is>
          <t>Yes</t>
        </is>
      </c>
      <c r="J1048" t="inlineStr">
        <is>
          <t>0</t>
        </is>
      </c>
      <c r="L1048" t="inlineStr">
        <is>
          <t>New York : Wiley, c1978.</t>
        </is>
      </c>
      <c r="M1048" t="inlineStr">
        <is>
          <t>1978</t>
        </is>
      </c>
      <c r="N1048" t="inlineStr">
        <is>
          <t>7th ed. / edited by C. Michael Lederer and Virginia S. Shirley ; principal authors, Edgardo Browne, Janis M. Dairiki, Raymond E. Doebler, authors, Adnan A. Shihab-Eldin ... [et al.].</t>
        </is>
      </c>
      <c r="O1048" t="inlineStr">
        <is>
          <t>eng</t>
        </is>
      </c>
      <c r="P1048" t="inlineStr">
        <is>
          <t>nyu</t>
        </is>
      </c>
      <c r="R1048" t="inlineStr">
        <is>
          <t xml:space="preserve">QD </t>
        </is>
      </c>
      <c r="S1048" t="n">
        <v>2</v>
      </c>
      <c r="T1048" t="n">
        <v>2</v>
      </c>
      <c r="U1048" t="inlineStr">
        <is>
          <t>2010-06-06</t>
        </is>
      </c>
      <c r="V1048" t="inlineStr">
        <is>
          <t>2010-06-06</t>
        </is>
      </c>
      <c r="W1048" t="inlineStr">
        <is>
          <t>1998-01-07</t>
        </is>
      </c>
      <c r="X1048" t="inlineStr">
        <is>
          <t>1998-01-07</t>
        </is>
      </c>
      <c r="Y1048" t="n">
        <v>479</v>
      </c>
      <c r="Z1048" t="n">
        <v>359</v>
      </c>
      <c r="AA1048" t="n">
        <v>397</v>
      </c>
      <c r="AB1048" t="n">
        <v>3</v>
      </c>
      <c r="AC1048" t="n">
        <v>3</v>
      </c>
      <c r="AD1048" t="n">
        <v>14</v>
      </c>
      <c r="AE1048" t="n">
        <v>14</v>
      </c>
      <c r="AF1048" t="n">
        <v>3</v>
      </c>
      <c r="AG1048" t="n">
        <v>3</v>
      </c>
      <c r="AH1048" t="n">
        <v>2</v>
      </c>
      <c r="AI1048" t="n">
        <v>2</v>
      </c>
      <c r="AJ1048" t="n">
        <v>9</v>
      </c>
      <c r="AK1048" t="n">
        <v>9</v>
      </c>
      <c r="AL1048" t="n">
        <v>2</v>
      </c>
      <c r="AM1048" t="n">
        <v>2</v>
      </c>
      <c r="AN1048" t="n">
        <v>0</v>
      </c>
      <c r="AO1048" t="n">
        <v>0</v>
      </c>
      <c r="AP1048" t="inlineStr">
        <is>
          <t>No</t>
        </is>
      </c>
      <c r="AQ1048" t="inlineStr">
        <is>
          <t>Yes</t>
        </is>
      </c>
      <c r="AR1048">
        <f>HYPERLINK("http://catalog.hathitrust.org/Record/000179665","HathiTrust Record")</f>
        <v/>
      </c>
      <c r="AS1048">
        <f>HYPERLINK("https://creighton-primo.hosted.exlibrisgroup.com/primo-explore/search?tab=default_tab&amp;search_scope=EVERYTHING&amp;vid=01CRU&amp;lang=en_US&amp;offset=0&amp;query=any,contains,991001683359702656","Catalog Record")</f>
        <v/>
      </c>
      <c r="AT1048">
        <f>HYPERLINK("http://www.worldcat.org/oclc/4114671","WorldCat Record")</f>
        <v/>
      </c>
      <c r="AU1048" t="inlineStr">
        <is>
          <t>4663533661:eng</t>
        </is>
      </c>
      <c r="AV1048" t="inlineStr">
        <is>
          <t>4114671</t>
        </is>
      </c>
      <c r="AW1048" t="inlineStr">
        <is>
          <t>991001683359702656</t>
        </is>
      </c>
      <c r="AX1048" t="inlineStr">
        <is>
          <t>991001683359702656</t>
        </is>
      </c>
      <c r="AY1048" t="inlineStr">
        <is>
          <t>2271935460002656</t>
        </is>
      </c>
      <c r="AZ1048" t="inlineStr">
        <is>
          <t>BOOK</t>
        </is>
      </c>
      <c r="BB1048" t="inlineStr">
        <is>
          <t>9780471041795</t>
        </is>
      </c>
      <c r="BC1048" t="inlineStr">
        <is>
          <t>32285003306973</t>
        </is>
      </c>
      <c r="BD1048" t="inlineStr">
        <is>
          <t>893503593</t>
        </is>
      </c>
    </row>
    <row r="1049">
      <c r="A1049" t="inlineStr">
        <is>
          <t>No</t>
        </is>
      </c>
      <c r="B1049" t="inlineStr">
        <is>
          <t>QD466 .N37</t>
        </is>
      </c>
      <c r="C1049" t="inlineStr">
        <is>
          <t>0                      QD 0466000N  37</t>
        </is>
      </c>
      <c r="D1049" t="inlineStr">
        <is>
          <t>The chemistry of the elements.</t>
        </is>
      </c>
      <c r="F1049" t="inlineStr">
        <is>
          <t>No</t>
        </is>
      </c>
      <c r="G1049" t="inlineStr">
        <is>
          <t>1</t>
        </is>
      </c>
      <c r="H1049" t="inlineStr">
        <is>
          <t>No</t>
        </is>
      </c>
      <c r="I1049" t="inlineStr">
        <is>
          <t>No</t>
        </is>
      </c>
      <c r="J1049" t="inlineStr">
        <is>
          <t>0</t>
        </is>
      </c>
      <c r="K1049" t="inlineStr">
        <is>
          <t>Nechamkin, Howard, 1918-2003.</t>
        </is>
      </c>
      <c r="L1049" t="inlineStr">
        <is>
          <t>New York : McGraw-Hill, [1968]</t>
        </is>
      </c>
      <c r="M1049" t="inlineStr">
        <is>
          <t>1968</t>
        </is>
      </c>
      <c r="O1049" t="inlineStr">
        <is>
          <t>eng</t>
        </is>
      </c>
      <c r="P1049" t="inlineStr">
        <is>
          <t>nyu</t>
        </is>
      </c>
      <c r="R1049" t="inlineStr">
        <is>
          <t xml:space="preserve">QD </t>
        </is>
      </c>
      <c r="S1049" t="n">
        <v>6</v>
      </c>
      <c r="T1049" t="n">
        <v>6</v>
      </c>
      <c r="U1049" t="inlineStr">
        <is>
          <t>1994-11-14</t>
        </is>
      </c>
      <c r="V1049" t="inlineStr">
        <is>
          <t>1994-11-14</t>
        </is>
      </c>
      <c r="W1049" t="inlineStr">
        <is>
          <t>1992-03-25</t>
        </is>
      </c>
      <c r="X1049" t="inlineStr">
        <is>
          <t>1992-03-25</t>
        </is>
      </c>
      <c r="Y1049" t="n">
        <v>537</v>
      </c>
      <c r="Z1049" t="n">
        <v>469</v>
      </c>
      <c r="AA1049" t="n">
        <v>474</v>
      </c>
      <c r="AB1049" t="n">
        <v>6</v>
      </c>
      <c r="AC1049" t="n">
        <v>6</v>
      </c>
      <c r="AD1049" t="n">
        <v>17</v>
      </c>
      <c r="AE1049" t="n">
        <v>17</v>
      </c>
      <c r="AF1049" t="n">
        <v>7</v>
      </c>
      <c r="AG1049" t="n">
        <v>7</v>
      </c>
      <c r="AH1049" t="n">
        <v>2</v>
      </c>
      <c r="AI1049" t="n">
        <v>2</v>
      </c>
      <c r="AJ1049" t="n">
        <v>5</v>
      </c>
      <c r="AK1049" t="n">
        <v>5</v>
      </c>
      <c r="AL1049" t="n">
        <v>5</v>
      </c>
      <c r="AM1049" t="n">
        <v>5</v>
      </c>
      <c r="AN1049" t="n">
        <v>0</v>
      </c>
      <c r="AO1049" t="n">
        <v>0</v>
      </c>
      <c r="AP1049" t="inlineStr">
        <is>
          <t>No</t>
        </is>
      </c>
      <c r="AQ1049" t="inlineStr">
        <is>
          <t>Yes</t>
        </is>
      </c>
      <c r="AR1049">
        <f>HYPERLINK("http://catalog.hathitrust.org/Record/001114027","HathiTrust Record")</f>
        <v/>
      </c>
      <c r="AS1049">
        <f>HYPERLINK("https://creighton-primo.hosted.exlibrisgroup.com/primo-explore/search?tab=default_tab&amp;search_scope=EVERYTHING&amp;vid=01CRU&amp;lang=en_US&amp;offset=0&amp;query=any,contains,991002787369702656","Catalog Record")</f>
        <v/>
      </c>
      <c r="AT1049">
        <f>HYPERLINK("http://www.worldcat.org/oclc/442190","WorldCat Record")</f>
        <v/>
      </c>
      <c r="AU1049" t="inlineStr">
        <is>
          <t>1571003:eng</t>
        </is>
      </c>
      <c r="AV1049" t="inlineStr">
        <is>
          <t>442190</t>
        </is>
      </c>
      <c r="AW1049" t="inlineStr">
        <is>
          <t>991002787369702656</t>
        </is>
      </c>
      <c r="AX1049" t="inlineStr">
        <is>
          <t>991002787369702656</t>
        </is>
      </c>
      <c r="AY1049" t="inlineStr">
        <is>
          <t>2255781340002656</t>
        </is>
      </c>
      <c r="AZ1049" t="inlineStr">
        <is>
          <t>BOOK</t>
        </is>
      </c>
      <c r="BC1049" t="inlineStr">
        <is>
          <t>32285001028330</t>
        </is>
      </c>
      <c r="BD1049" t="inlineStr">
        <is>
          <t>893335711</t>
        </is>
      </c>
    </row>
    <row r="1050">
      <c r="A1050" t="inlineStr">
        <is>
          <t>No</t>
        </is>
      </c>
      <c r="B1050" t="inlineStr">
        <is>
          <t>QD466 .S53 1950</t>
        </is>
      </c>
      <c r="C1050" t="inlineStr">
        <is>
          <t>0                      QD 0466000S  53          1950</t>
        </is>
      </c>
      <c r="D1050" t="inlineStr">
        <is>
          <t>The chemical elements and their compounds.</t>
        </is>
      </c>
      <c r="E1050" t="inlineStr">
        <is>
          <t>V.2</t>
        </is>
      </c>
      <c r="F1050" t="inlineStr">
        <is>
          <t>Yes</t>
        </is>
      </c>
      <c r="G1050" t="inlineStr">
        <is>
          <t>1</t>
        </is>
      </c>
      <c r="H1050" t="inlineStr">
        <is>
          <t>No</t>
        </is>
      </c>
      <c r="I1050" t="inlineStr">
        <is>
          <t>No</t>
        </is>
      </c>
      <c r="J1050" t="inlineStr">
        <is>
          <t>0</t>
        </is>
      </c>
      <c r="K1050" t="inlineStr">
        <is>
          <t>Sidgwick, Nevil Vincent, 1873-1952.</t>
        </is>
      </c>
      <c r="L1050" t="inlineStr">
        <is>
          <t>Oxford : Clarendon Press, 1950.</t>
        </is>
      </c>
      <c r="M1050" t="inlineStr">
        <is>
          <t>1950</t>
        </is>
      </c>
      <c r="O1050" t="inlineStr">
        <is>
          <t>eng</t>
        </is>
      </c>
      <c r="P1050" t="inlineStr">
        <is>
          <t>enk</t>
        </is>
      </c>
      <c r="R1050" t="inlineStr">
        <is>
          <t xml:space="preserve">QD </t>
        </is>
      </c>
      <c r="S1050" t="n">
        <v>6</v>
      </c>
      <c r="T1050" t="n">
        <v>12</v>
      </c>
      <c r="U1050" t="inlineStr">
        <is>
          <t>2003-02-28</t>
        </is>
      </c>
      <c r="V1050" t="inlineStr">
        <is>
          <t>2003-02-28</t>
        </is>
      </c>
      <c r="W1050" t="inlineStr">
        <is>
          <t>1994-12-08</t>
        </is>
      </c>
      <c r="X1050" t="inlineStr">
        <is>
          <t>1994-12-08</t>
        </is>
      </c>
      <c r="Y1050" t="n">
        <v>782</v>
      </c>
      <c r="Z1050" t="n">
        <v>641</v>
      </c>
      <c r="AA1050" t="n">
        <v>711</v>
      </c>
      <c r="AB1050" t="n">
        <v>5</v>
      </c>
      <c r="AC1050" t="n">
        <v>5</v>
      </c>
      <c r="AD1050" t="n">
        <v>27</v>
      </c>
      <c r="AE1050" t="n">
        <v>28</v>
      </c>
      <c r="AF1050" t="n">
        <v>11</v>
      </c>
      <c r="AG1050" t="n">
        <v>12</v>
      </c>
      <c r="AH1050" t="n">
        <v>4</v>
      </c>
      <c r="AI1050" t="n">
        <v>4</v>
      </c>
      <c r="AJ1050" t="n">
        <v>15</v>
      </c>
      <c r="AK1050" t="n">
        <v>16</v>
      </c>
      <c r="AL1050" t="n">
        <v>4</v>
      </c>
      <c r="AM1050" t="n">
        <v>4</v>
      </c>
      <c r="AN1050" t="n">
        <v>0</v>
      </c>
      <c r="AO1050" t="n">
        <v>0</v>
      </c>
      <c r="AP1050" t="inlineStr">
        <is>
          <t>No</t>
        </is>
      </c>
      <c r="AQ1050" t="inlineStr">
        <is>
          <t>Yes</t>
        </is>
      </c>
      <c r="AR1050">
        <f>HYPERLINK("http://catalog.hathitrust.org/Record/001114030","HathiTrust Record")</f>
        <v/>
      </c>
      <c r="AS1050">
        <f>HYPERLINK("https://creighton-primo.hosted.exlibrisgroup.com/primo-explore/search?tab=default_tab&amp;search_scope=EVERYTHING&amp;vid=01CRU&amp;lang=en_US&amp;offset=0&amp;query=any,contains,991002960519702656","Catalog Record")</f>
        <v/>
      </c>
      <c r="AT1050">
        <f>HYPERLINK("http://www.worldcat.org/oclc/543754","WorldCat Record")</f>
        <v/>
      </c>
      <c r="AU1050" t="inlineStr">
        <is>
          <t>4159933837:eng</t>
        </is>
      </c>
      <c r="AV1050" t="inlineStr">
        <is>
          <t>543754</t>
        </is>
      </c>
      <c r="AW1050" t="inlineStr">
        <is>
          <t>991002960519702656</t>
        </is>
      </c>
      <c r="AX1050" t="inlineStr">
        <is>
          <t>991002960519702656</t>
        </is>
      </c>
      <c r="AY1050" t="inlineStr">
        <is>
          <t>2265393810002656</t>
        </is>
      </c>
      <c r="AZ1050" t="inlineStr">
        <is>
          <t>BOOK</t>
        </is>
      </c>
      <c r="BC1050" t="inlineStr">
        <is>
          <t>32285001980555</t>
        </is>
      </c>
      <c r="BD1050" t="inlineStr">
        <is>
          <t>893717147</t>
        </is>
      </c>
    </row>
    <row r="1051">
      <c r="A1051" t="inlineStr">
        <is>
          <t>No</t>
        </is>
      </c>
      <c r="B1051" t="inlineStr">
        <is>
          <t>QD466 .S53 1950</t>
        </is>
      </c>
      <c r="C1051" t="inlineStr">
        <is>
          <t>0                      QD 0466000S  53          1950</t>
        </is>
      </c>
      <c r="D1051" t="inlineStr">
        <is>
          <t>The chemical elements and their compounds.</t>
        </is>
      </c>
      <c r="E1051" t="inlineStr">
        <is>
          <t>V.1</t>
        </is>
      </c>
      <c r="F1051" t="inlineStr">
        <is>
          <t>Yes</t>
        </is>
      </c>
      <c r="G1051" t="inlineStr">
        <is>
          <t>1</t>
        </is>
      </c>
      <c r="H1051" t="inlineStr">
        <is>
          <t>No</t>
        </is>
      </c>
      <c r="I1051" t="inlineStr">
        <is>
          <t>No</t>
        </is>
      </c>
      <c r="J1051" t="inlineStr">
        <is>
          <t>0</t>
        </is>
      </c>
      <c r="K1051" t="inlineStr">
        <is>
          <t>Sidgwick, Nevil Vincent, 1873-1952.</t>
        </is>
      </c>
      <c r="L1051" t="inlineStr">
        <is>
          <t>Oxford : Clarendon Press, 1950.</t>
        </is>
      </c>
      <c r="M1051" t="inlineStr">
        <is>
          <t>1950</t>
        </is>
      </c>
      <c r="O1051" t="inlineStr">
        <is>
          <t>eng</t>
        </is>
      </c>
      <c r="P1051" t="inlineStr">
        <is>
          <t>enk</t>
        </is>
      </c>
      <c r="R1051" t="inlineStr">
        <is>
          <t xml:space="preserve">QD </t>
        </is>
      </c>
      <c r="S1051" t="n">
        <v>6</v>
      </c>
      <c r="T1051" t="n">
        <v>12</v>
      </c>
      <c r="U1051" t="inlineStr">
        <is>
          <t>2003-02-28</t>
        </is>
      </c>
      <c r="V1051" t="inlineStr">
        <is>
          <t>2003-02-28</t>
        </is>
      </c>
      <c r="W1051" t="inlineStr">
        <is>
          <t>1994-12-01</t>
        </is>
      </c>
      <c r="X1051" t="inlineStr">
        <is>
          <t>1994-12-08</t>
        </is>
      </c>
      <c r="Y1051" t="n">
        <v>782</v>
      </c>
      <c r="Z1051" t="n">
        <v>641</v>
      </c>
      <c r="AA1051" t="n">
        <v>711</v>
      </c>
      <c r="AB1051" t="n">
        <v>5</v>
      </c>
      <c r="AC1051" t="n">
        <v>5</v>
      </c>
      <c r="AD1051" t="n">
        <v>27</v>
      </c>
      <c r="AE1051" t="n">
        <v>28</v>
      </c>
      <c r="AF1051" t="n">
        <v>11</v>
      </c>
      <c r="AG1051" t="n">
        <v>12</v>
      </c>
      <c r="AH1051" t="n">
        <v>4</v>
      </c>
      <c r="AI1051" t="n">
        <v>4</v>
      </c>
      <c r="AJ1051" t="n">
        <v>15</v>
      </c>
      <c r="AK1051" t="n">
        <v>16</v>
      </c>
      <c r="AL1051" t="n">
        <v>4</v>
      </c>
      <c r="AM1051" t="n">
        <v>4</v>
      </c>
      <c r="AN1051" t="n">
        <v>0</v>
      </c>
      <c r="AO1051" t="n">
        <v>0</v>
      </c>
      <c r="AP1051" t="inlineStr">
        <is>
          <t>No</t>
        </is>
      </c>
      <c r="AQ1051" t="inlineStr">
        <is>
          <t>Yes</t>
        </is>
      </c>
      <c r="AR1051">
        <f>HYPERLINK("http://catalog.hathitrust.org/Record/001114030","HathiTrust Record")</f>
        <v/>
      </c>
      <c r="AS1051">
        <f>HYPERLINK("https://creighton-primo.hosted.exlibrisgroup.com/primo-explore/search?tab=default_tab&amp;search_scope=EVERYTHING&amp;vid=01CRU&amp;lang=en_US&amp;offset=0&amp;query=any,contains,991002960519702656","Catalog Record")</f>
        <v/>
      </c>
      <c r="AT1051">
        <f>HYPERLINK("http://www.worldcat.org/oclc/543754","WorldCat Record")</f>
        <v/>
      </c>
      <c r="AU1051" t="inlineStr">
        <is>
          <t>4159933837:eng</t>
        </is>
      </c>
      <c r="AV1051" t="inlineStr">
        <is>
          <t>543754</t>
        </is>
      </c>
      <c r="AW1051" t="inlineStr">
        <is>
          <t>991002960519702656</t>
        </is>
      </c>
      <c r="AX1051" t="inlineStr">
        <is>
          <t>991002960519702656</t>
        </is>
      </c>
      <c r="AY1051" t="inlineStr">
        <is>
          <t>2265393810002656</t>
        </is>
      </c>
      <c r="AZ1051" t="inlineStr">
        <is>
          <t>BOOK</t>
        </is>
      </c>
      <c r="BC1051" t="inlineStr">
        <is>
          <t>32285001969228</t>
        </is>
      </c>
      <c r="BD1051" t="inlineStr">
        <is>
          <t>893692216</t>
        </is>
      </c>
    </row>
    <row r="1052">
      <c r="A1052" t="inlineStr">
        <is>
          <t>No</t>
        </is>
      </c>
      <c r="B1052" t="inlineStr">
        <is>
          <t>QD466 .S78 2002</t>
        </is>
      </c>
      <c r="C1052" t="inlineStr">
        <is>
          <t>0                      QD 0466000S  78          2002</t>
        </is>
      </c>
      <c r="D1052" t="inlineStr">
        <is>
          <t>A guide to the elements / Albert Stwertka.</t>
        </is>
      </c>
      <c r="F1052" t="inlineStr">
        <is>
          <t>No</t>
        </is>
      </c>
      <c r="G1052" t="inlineStr">
        <is>
          <t>1</t>
        </is>
      </c>
      <c r="H1052" t="inlineStr">
        <is>
          <t>No</t>
        </is>
      </c>
      <c r="I1052" t="inlineStr">
        <is>
          <t>No</t>
        </is>
      </c>
      <c r="J1052" t="inlineStr">
        <is>
          <t>0</t>
        </is>
      </c>
      <c r="K1052" t="inlineStr">
        <is>
          <t>Stwertka, Albert.</t>
        </is>
      </c>
      <c r="L1052" t="inlineStr">
        <is>
          <t>New York : Oxford University Press, c2002.</t>
        </is>
      </c>
      <c r="M1052" t="inlineStr">
        <is>
          <t>2002</t>
        </is>
      </c>
      <c r="N1052" t="inlineStr">
        <is>
          <t>2nd ed.</t>
        </is>
      </c>
      <c r="O1052" t="inlineStr">
        <is>
          <t>eng</t>
        </is>
      </c>
      <c r="P1052" t="inlineStr">
        <is>
          <t>nyu</t>
        </is>
      </c>
      <c r="R1052" t="inlineStr">
        <is>
          <t xml:space="preserve">QD </t>
        </is>
      </c>
      <c r="S1052" t="n">
        <v>11</v>
      </c>
      <c r="T1052" t="n">
        <v>11</v>
      </c>
      <c r="U1052" t="inlineStr">
        <is>
          <t>2010-10-26</t>
        </is>
      </c>
      <c r="V1052" t="inlineStr">
        <is>
          <t>2010-10-26</t>
        </is>
      </c>
      <c r="W1052" t="inlineStr">
        <is>
          <t>2004-04-26</t>
        </is>
      </c>
      <c r="X1052" t="inlineStr">
        <is>
          <t>2004-04-26</t>
        </is>
      </c>
      <c r="Y1052" t="n">
        <v>956</v>
      </c>
      <c r="Z1052" t="n">
        <v>889</v>
      </c>
      <c r="AA1052" t="n">
        <v>1929</v>
      </c>
      <c r="AB1052" t="n">
        <v>4</v>
      </c>
      <c r="AC1052" t="n">
        <v>17</v>
      </c>
      <c r="AD1052" t="n">
        <v>9</v>
      </c>
      <c r="AE1052" t="n">
        <v>26</v>
      </c>
      <c r="AF1052" t="n">
        <v>3</v>
      </c>
      <c r="AG1052" t="n">
        <v>9</v>
      </c>
      <c r="AH1052" t="n">
        <v>2</v>
      </c>
      <c r="AI1052" t="n">
        <v>3</v>
      </c>
      <c r="AJ1052" t="n">
        <v>5</v>
      </c>
      <c r="AK1052" t="n">
        <v>11</v>
      </c>
      <c r="AL1052" t="n">
        <v>0</v>
      </c>
      <c r="AM1052" t="n">
        <v>5</v>
      </c>
      <c r="AN1052" t="n">
        <v>0</v>
      </c>
      <c r="AO1052" t="n">
        <v>0</v>
      </c>
      <c r="AP1052" t="inlineStr">
        <is>
          <t>No</t>
        </is>
      </c>
      <c r="AQ1052" t="inlineStr">
        <is>
          <t>No</t>
        </is>
      </c>
      <c r="AS1052">
        <f>HYPERLINK("https://creighton-primo.hosted.exlibrisgroup.com/primo-explore/search?tab=default_tab&amp;search_scope=EVERYTHING&amp;vid=01CRU&amp;lang=en_US&amp;offset=0&amp;query=any,contains,991004242639702656","Catalog Record")</f>
        <v/>
      </c>
      <c r="AT1052">
        <f>HYPERLINK("http://www.worldcat.org/oclc/49599243","WorldCat Record")</f>
        <v/>
      </c>
      <c r="AU1052" t="inlineStr">
        <is>
          <t>10459140:eng</t>
        </is>
      </c>
      <c r="AV1052" t="inlineStr">
        <is>
          <t>49599243</t>
        </is>
      </c>
      <c r="AW1052" t="inlineStr">
        <is>
          <t>991004242639702656</t>
        </is>
      </c>
      <c r="AX1052" t="inlineStr">
        <is>
          <t>991004242639702656</t>
        </is>
      </c>
      <c r="AY1052" t="inlineStr">
        <is>
          <t>2260801000002656</t>
        </is>
      </c>
      <c r="AZ1052" t="inlineStr">
        <is>
          <t>BOOK</t>
        </is>
      </c>
      <c r="BB1052" t="inlineStr">
        <is>
          <t>9780195150261</t>
        </is>
      </c>
      <c r="BC1052" t="inlineStr">
        <is>
          <t>32285004902101</t>
        </is>
      </c>
      <c r="BD1052" t="inlineStr">
        <is>
          <t>893861585</t>
        </is>
      </c>
    </row>
    <row r="1053">
      <c r="A1053" t="inlineStr">
        <is>
          <t>No</t>
        </is>
      </c>
      <c r="B1053" t="inlineStr">
        <is>
          <t>QD466.5 .A76 1989</t>
        </is>
      </c>
      <c r="C1053" t="inlineStr">
        <is>
          <t>0                      QD 0466500A  76          1989</t>
        </is>
      </c>
      <c r="D1053" t="inlineStr">
        <is>
          <t>Isotopes in the atomic age / Hari Jeevan Arnikar.</t>
        </is>
      </c>
      <c r="F1053" t="inlineStr">
        <is>
          <t>No</t>
        </is>
      </c>
      <c r="G1053" t="inlineStr">
        <is>
          <t>1</t>
        </is>
      </c>
      <c r="H1053" t="inlineStr">
        <is>
          <t>No</t>
        </is>
      </c>
      <c r="I1053" t="inlineStr">
        <is>
          <t>No</t>
        </is>
      </c>
      <c r="J1053" t="inlineStr">
        <is>
          <t>0</t>
        </is>
      </c>
      <c r="K1053" t="inlineStr">
        <is>
          <t>Arnikar, Hari Jeevan.</t>
        </is>
      </c>
      <c r="L1053" t="inlineStr">
        <is>
          <t>New York : Wiley, 1989.</t>
        </is>
      </c>
      <c r="M1053" t="inlineStr">
        <is>
          <t>1989</t>
        </is>
      </c>
      <c r="O1053" t="inlineStr">
        <is>
          <t>eng</t>
        </is>
      </c>
      <c r="P1053" t="inlineStr">
        <is>
          <t>nyu</t>
        </is>
      </c>
      <c r="R1053" t="inlineStr">
        <is>
          <t xml:space="preserve">QD </t>
        </is>
      </c>
      <c r="S1053" t="n">
        <v>3</v>
      </c>
      <c r="T1053" t="n">
        <v>3</v>
      </c>
      <c r="U1053" t="inlineStr">
        <is>
          <t>1993-05-01</t>
        </is>
      </c>
      <c r="V1053" t="inlineStr">
        <is>
          <t>1993-05-01</t>
        </is>
      </c>
      <c r="W1053" t="inlineStr">
        <is>
          <t>1990-05-29</t>
        </is>
      </c>
      <c r="X1053" t="inlineStr">
        <is>
          <t>1990-05-29</t>
        </is>
      </c>
      <c r="Y1053" t="n">
        <v>110</v>
      </c>
      <c r="Z1053" t="n">
        <v>81</v>
      </c>
      <c r="AA1053" t="n">
        <v>85</v>
      </c>
      <c r="AB1053" t="n">
        <v>1</v>
      </c>
      <c r="AC1053" t="n">
        <v>1</v>
      </c>
      <c r="AD1053" t="n">
        <v>3</v>
      </c>
      <c r="AE1053" t="n">
        <v>3</v>
      </c>
      <c r="AF1053" t="n">
        <v>0</v>
      </c>
      <c r="AG1053" t="n">
        <v>0</v>
      </c>
      <c r="AH1053" t="n">
        <v>2</v>
      </c>
      <c r="AI1053" t="n">
        <v>2</v>
      </c>
      <c r="AJ1053" t="n">
        <v>2</v>
      </c>
      <c r="AK1053" t="n">
        <v>2</v>
      </c>
      <c r="AL1053" t="n">
        <v>0</v>
      </c>
      <c r="AM1053" t="n">
        <v>0</v>
      </c>
      <c r="AN1053" t="n">
        <v>0</v>
      </c>
      <c r="AO1053" t="n">
        <v>0</v>
      </c>
      <c r="AP1053" t="inlineStr">
        <is>
          <t>No</t>
        </is>
      </c>
      <c r="AQ1053" t="inlineStr">
        <is>
          <t>Yes</t>
        </is>
      </c>
      <c r="AR1053">
        <f>HYPERLINK("http://catalog.hathitrust.org/Record/001538677","HathiTrust Record")</f>
        <v/>
      </c>
      <c r="AS1053">
        <f>HYPERLINK("https://creighton-primo.hosted.exlibrisgroup.com/primo-explore/search?tab=default_tab&amp;search_scope=EVERYTHING&amp;vid=01CRU&amp;lang=en_US&amp;offset=0&amp;query=any,contains,991001199839702656","Catalog Record")</f>
        <v/>
      </c>
      <c r="AT1053">
        <f>HYPERLINK("http://www.worldcat.org/oclc/17300554","WorldCat Record")</f>
        <v/>
      </c>
      <c r="AU1053" t="inlineStr">
        <is>
          <t>15386461:eng</t>
        </is>
      </c>
      <c r="AV1053" t="inlineStr">
        <is>
          <t>17300554</t>
        </is>
      </c>
      <c r="AW1053" t="inlineStr">
        <is>
          <t>991001199839702656</t>
        </is>
      </c>
      <c r="AX1053" t="inlineStr">
        <is>
          <t>991001199839702656</t>
        </is>
      </c>
      <c r="AY1053" t="inlineStr">
        <is>
          <t>2267680530002656</t>
        </is>
      </c>
      <c r="AZ1053" t="inlineStr">
        <is>
          <t>BOOK</t>
        </is>
      </c>
      <c r="BB1053" t="inlineStr">
        <is>
          <t>9780470210468</t>
        </is>
      </c>
      <c r="BC1053" t="inlineStr">
        <is>
          <t>32285000156611</t>
        </is>
      </c>
      <c r="BD1053" t="inlineStr">
        <is>
          <t>893872367</t>
        </is>
      </c>
    </row>
    <row r="1054">
      <c r="A1054" t="inlineStr">
        <is>
          <t>No</t>
        </is>
      </c>
      <c r="B1054" t="inlineStr">
        <is>
          <t>QD467 .M43 2005</t>
        </is>
      </c>
      <c r="C1054" t="inlineStr">
        <is>
          <t>0                      QD 0467000M  43          2005</t>
        </is>
      </c>
      <c r="D1054" t="inlineStr">
        <is>
          <t>Mendeleev on the periodic law : selected writings, 1869-1905 / selected and edited by William B. Jensen.</t>
        </is>
      </c>
      <c r="F1054" t="inlineStr">
        <is>
          <t>No</t>
        </is>
      </c>
      <c r="G1054" t="inlineStr">
        <is>
          <t>1</t>
        </is>
      </c>
      <c r="H1054" t="inlineStr">
        <is>
          <t>No</t>
        </is>
      </c>
      <c r="I1054" t="inlineStr">
        <is>
          <t>No</t>
        </is>
      </c>
      <c r="J1054" t="inlineStr">
        <is>
          <t>0</t>
        </is>
      </c>
      <c r="K1054" t="inlineStr">
        <is>
          <t>Mendeleyev, Dmitry Ivanovich, 1834-1907.</t>
        </is>
      </c>
      <c r="L1054" t="inlineStr">
        <is>
          <t>Mineola, N.Y. : Dover, 2005, c2002.</t>
        </is>
      </c>
      <c r="M1054" t="inlineStr">
        <is>
          <t>2005</t>
        </is>
      </c>
      <c r="O1054" t="inlineStr">
        <is>
          <t>eng</t>
        </is>
      </c>
      <c r="P1054" t="inlineStr">
        <is>
          <t>nyu</t>
        </is>
      </c>
      <c r="R1054" t="inlineStr">
        <is>
          <t xml:space="preserve">QD </t>
        </is>
      </c>
      <c r="S1054" t="n">
        <v>2</v>
      </c>
      <c r="T1054" t="n">
        <v>2</v>
      </c>
      <c r="U1054" t="inlineStr">
        <is>
          <t>2006-11-20</t>
        </is>
      </c>
      <c r="V1054" t="inlineStr">
        <is>
          <t>2006-11-20</t>
        </is>
      </c>
      <c r="W1054" t="inlineStr">
        <is>
          <t>2006-02-27</t>
        </is>
      </c>
      <c r="X1054" t="inlineStr">
        <is>
          <t>2006-02-27</t>
        </is>
      </c>
      <c r="Y1054" t="n">
        <v>53</v>
      </c>
      <c r="Z1054" t="n">
        <v>45</v>
      </c>
      <c r="AA1054" t="n">
        <v>72</v>
      </c>
      <c r="AB1054" t="n">
        <v>1</v>
      </c>
      <c r="AC1054" t="n">
        <v>2</v>
      </c>
      <c r="AD1054" t="n">
        <v>2</v>
      </c>
      <c r="AE1054" t="n">
        <v>4</v>
      </c>
      <c r="AF1054" t="n">
        <v>1</v>
      </c>
      <c r="AG1054" t="n">
        <v>2</v>
      </c>
      <c r="AH1054" t="n">
        <v>0</v>
      </c>
      <c r="AI1054" t="n">
        <v>1</v>
      </c>
      <c r="AJ1054" t="n">
        <v>1</v>
      </c>
      <c r="AK1054" t="n">
        <v>1</v>
      </c>
      <c r="AL1054" t="n">
        <v>0</v>
      </c>
      <c r="AM1054" t="n">
        <v>1</v>
      </c>
      <c r="AN1054" t="n">
        <v>0</v>
      </c>
      <c r="AO1054" t="n">
        <v>0</v>
      </c>
      <c r="AP1054" t="inlineStr">
        <is>
          <t>No</t>
        </is>
      </c>
      <c r="AQ1054" t="inlineStr">
        <is>
          <t>No</t>
        </is>
      </c>
      <c r="AS1054">
        <f>HYPERLINK("https://creighton-primo.hosted.exlibrisgroup.com/primo-explore/search?tab=default_tab&amp;search_scope=EVERYTHING&amp;vid=01CRU&amp;lang=en_US&amp;offset=0&amp;query=any,contains,991004751599702656","Catalog Record")</f>
        <v/>
      </c>
      <c r="AT1054">
        <f>HYPERLINK("http://www.worldcat.org/oclc/63204277","WorldCat Record")</f>
        <v/>
      </c>
      <c r="AU1054" t="inlineStr">
        <is>
          <t>19821764:eng</t>
        </is>
      </c>
      <c r="AV1054" t="inlineStr">
        <is>
          <t>63204277</t>
        </is>
      </c>
      <c r="AW1054" t="inlineStr">
        <is>
          <t>991004751599702656</t>
        </is>
      </c>
      <c r="AX1054" t="inlineStr">
        <is>
          <t>991004751599702656</t>
        </is>
      </c>
      <c r="AY1054" t="inlineStr">
        <is>
          <t>2258862460002656</t>
        </is>
      </c>
      <c r="AZ1054" t="inlineStr">
        <is>
          <t>BOOK</t>
        </is>
      </c>
      <c r="BB1054" t="inlineStr">
        <is>
          <t>9780486445717</t>
        </is>
      </c>
      <c r="BC1054" t="inlineStr">
        <is>
          <t>32285005169072</t>
        </is>
      </c>
      <c r="BD1054" t="inlineStr">
        <is>
          <t>893810676</t>
        </is>
      </c>
    </row>
    <row r="1055">
      <c r="A1055" t="inlineStr">
        <is>
          <t>No</t>
        </is>
      </c>
      <c r="B1055" t="inlineStr">
        <is>
          <t>QD467 .R5</t>
        </is>
      </c>
      <c r="C1055" t="inlineStr">
        <is>
          <t>0                      QD 0467000R  5</t>
        </is>
      </c>
      <c r="D1055" t="inlineStr">
        <is>
          <t>Periodic correlations.</t>
        </is>
      </c>
      <c r="F1055" t="inlineStr">
        <is>
          <t>No</t>
        </is>
      </c>
      <c r="G1055" t="inlineStr">
        <is>
          <t>1</t>
        </is>
      </c>
      <c r="H1055" t="inlineStr">
        <is>
          <t>No</t>
        </is>
      </c>
      <c r="I1055" t="inlineStr">
        <is>
          <t>No</t>
        </is>
      </c>
      <c r="J1055" t="inlineStr">
        <is>
          <t>0</t>
        </is>
      </c>
      <c r="K1055" t="inlineStr">
        <is>
          <t>Rich, Ronald.</t>
        </is>
      </c>
      <c r="L1055" t="inlineStr">
        <is>
          <t>New York : Benjamin, 1965.</t>
        </is>
      </c>
      <c r="M1055" t="inlineStr">
        <is>
          <t>1965</t>
        </is>
      </c>
      <c r="O1055" t="inlineStr">
        <is>
          <t>eng</t>
        </is>
      </c>
      <c r="P1055" t="inlineStr">
        <is>
          <t>nyu</t>
        </is>
      </c>
      <c r="Q1055" t="inlineStr">
        <is>
          <t>The Physical inorganic chemistry series</t>
        </is>
      </c>
      <c r="R1055" t="inlineStr">
        <is>
          <t xml:space="preserve">QD </t>
        </is>
      </c>
      <c r="S1055" t="n">
        <v>7</v>
      </c>
      <c r="T1055" t="n">
        <v>7</v>
      </c>
      <c r="U1055" t="inlineStr">
        <is>
          <t>1996-03-19</t>
        </is>
      </c>
      <c r="V1055" t="inlineStr">
        <is>
          <t>1996-03-19</t>
        </is>
      </c>
      <c r="W1055" t="inlineStr">
        <is>
          <t>1994-12-12</t>
        </is>
      </c>
      <c r="X1055" t="inlineStr">
        <is>
          <t>1994-12-12</t>
        </is>
      </c>
      <c r="Y1055" t="n">
        <v>607</v>
      </c>
      <c r="Z1055" t="n">
        <v>494</v>
      </c>
      <c r="AA1055" t="n">
        <v>502</v>
      </c>
      <c r="AB1055" t="n">
        <v>6</v>
      </c>
      <c r="AC1055" t="n">
        <v>6</v>
      </c>
      <c r="AD1055" t="n">
        <v>22</v>
      </c>
      <c r="AE1055" t="n">
        <v>22</v>
      </c>
      <c r="AF1055" t="n">
        <v>9</v>
      </c>
      <c r="AG1055" t="n">
        <v>9</v>
      </c>
      <c r="AH1055" t="n">
        <v>4</v>
      </c>
      <c r="AI1055" t="n">
        <v>4</v>
      </c>
      <c r="AJ1055" t="n">
        <v>9</v>
      </c>
      <c r="AK1055" t="n">
        <v>9</v>
      </c>
      <c r="AL1055" t="n">
        <v>5</v>
      </c>
      <c r="AM1055" t="n">
        <v>5</v>
      </c>
      <c r="AN1055" t="n">
        <v>0</v>
      </c>
      <c r="AO1055" t="n">
        <v>0</v>
      </c>
      <c r="AP1055" t="inlineStr">
        <is>
          <t>No</t>
        </is>
      </c>
      <c r="AQ1055" t="inlineStr">
        <is>
          <t>Yes</t>
        </is>
      </c>
      <c r="AR1055">
        <f>HYPERLINK("http://catalog.hathitrust.org/Record/001114035","HathiTrust Record")</f>
        <v/>
      </c>
      <c r="AS1055">
        <f>HYPERLINK("https://creighton-primo.hosted.exlibrisgroup.com/primo-explore/search?tab=default_tab&amp;search_scope=EVERYTHING&amp;vid=01CRU&amp;lang=en_US&amp;offset=0&amp;query=any,contains,991001951179702656","Catalog Record")</f>
        <v/>
      </c>
      <c r="AT1055">
        <f>HYPERLINK("http://www.worldcat.org/oclc/252329","WorldCat Record")</f>
        <v/>
      </c>
      <c r="AU1055" t="inlineStr">
        <is>
          <t>1343042:eng</t>
        </is>
      </c>
      <c r="AV1055" t="inlineStr">
        <is>
          <t>252329</t>
        </is>
      </c>
      <c r="AW1055" t="inlineStr">
        <is>
          <t>991001951179702656</t>
        </is>
      </c>
      <c r="AX1055" t="inlineStr">
        <is>
          <t>991001951179702656</t>
        </is>
      </c>
      <c r="AY1055" t="inlineStr">
        <is>
          <t>2270205970002656</t>
        </is>
      </c>
      <c r="AZ1055" t="inlineStr">
        <is>
          <t>BOOK</t>
        </is>
      </c>
      <c r="BC1055" t="inlineStr">
        <is>
          <t>32285001981421</t>
        </is>
      </c>
      <c r="BD1055" t="inlineStr">
        <is>
          <t>893891967</t>
        </is>
      </c>
    </row>
    <row r="1056">
      <c r="A1056" t="inlineStr">
        <is>
          <t>No</t>
        </is>
      </c>
      <c r="B1056" t="inlineStr">
        <is>
          <t>QD467 .S3</t>
        </is>
      </c>
      <c r="C1056" t="inlineStr">
        <is>
          <t>0                      QD 0467000S  3</t>
        </is>
      </c>
      <c r="D1056" t="inlineStr">
        <is>
          <t>Chemical periodicity.</t>
        </is>
      </c>
      <c r="F1056" t="inlineStr">
        <is>
          <t>No</t>
        </is>
      </c>
      <c r="G1056" t="inlineStr">
        <is>
          <t>1</t>
        </is>
      </c>
      <c r="H1056" t="inlineStr">
        <is>
          <t>No</t>
        </is>
      </c>
      <c r="I1056" t="inlineStr">
        <is>
          <t>No</t>
        </is>
      </c>
      <c r="J1056" t="inlineStr">
        <is>
          <t>0</t>
        </is>
      </c>
      <c r="K1056" t="inlineStr">
        <is>
          <t>Sanderson, R. T. (Robert Thomas), 1912-1989.</t>
        </is>
      </c>
      <c r="L1056" t="inlineStr">
        <is>
          <t>New York : Reinhold Pub. Corp., [1960]</t>
        </is>
      </c>
      <c r="M1056" t="inlineStr">
        <is>
          <t>1960</t>
        </is>
      </c>
      <c r="O1056" t="inlineStr">
        <is>
          <t>eng</t>
        </is>
      </c>
      <c r="P1056" t="inlineStr">
        <is>
          <t>nyu</t>
        </is>
      </c>
      <c r="Q1056" t="inlineStr">
        <is>
          <t>Reinhold physical and inorganic chemistry textbook series</t>
        </is>
      </c>
      <c r="R1056" t="inlineStr">
        <is>
          <t xml:space="preserve">QD </t>
        </is>
      </c>
      <c r="S1056" t="n">
        <v>6</v>
      </c>
      <c r="T1056" t="n">
        <v>6</v>
      </c>
      <c r="U1056" t="inlineStr">
        <is>
          <t>1995-06-25</t>
        </is>
      </c>
      <c r="V1056" t="inlineStr">
        <is>
          <t>1995-06-25</t>
        </is>
      </c>
      <c r="W1056" t="inlineStr">
        <is>
          <t>1994-11-29</t>
        </is>
      </c>
      <c r="X1056" t="inlineStr">
        <is>
          <t>1994-11-29</t>
        </is>
      </c>
      <c r="Y1056" t="n">
        <v>689</v>
      </c>
      <c r="Z1056" t="n">
        <v>560</v>
      </c>
      <c r="AA1056" t="n">
        <v>571</v>
      </c>
      <c r="AB1056" t="n">
        <v>5</v>
      </c>
      <c r="AC1056" t="n">
        <v>5</v>
      </c>
      <c r="AD1056" t="n">
        <v>29</v>
      </c>
      <c r="AE1056" t="n">
        <v>29</v>
      </c>
      <c r="AF1056" t="n">
        <v>11</v>
      </c>
      <c r="AG1056" t="n">
        <v>11</v>
      </c>
      <c r="AH1056" t="n">
        <v>4</v>
      </c>
      <c r="AI1056" t="n">
        <v>4</v>
      </c>
      <c r="AJ1056" t="n">
        <v>16</v>
      </c>
      <c r="AK1056" t="n">
        <v>16</v>
      </c>
      <c r="AL1056" t="n">
        <v>4</v>
      </c>
      <c r="AM1056" t="n">
        <v>4</v>
      </c>
      <c r="AN1056" t="n">
        <v>0</v>
      </c>
      <c r="AO1056" t="n">
        <v>0</v>
      </c>
      <c r="AP1056" t="inlineStr">
        <is>
          <t>No</t>
        </is>
      </c>
      <c r="AQ1056" t="inlineStr">
        <is>
          <t>Yes</t>
        </is>
      </c>
      <c r="AR1056">
        <f>HYPERLINK("http://catalog.hathitrust.org/Record/007476795","HathiTrust Record")</f>
        <v/>
      </c>
      <c r="AS1056">
        <f>HYPERLINK("https://creighton-primo.hosted.exlibrisgroup.com/primo-explore/search?tab=default_tab&amp;search_scope=EVERYTHING&amp;vid=01CRU&amp;lang=en_US&amp;offset=0&amp;query=any,contains,991002968419702656","Catalog Record")</f>
        <v/>
      </c>
      <c r="AT1056">
        <f>HYPERLINK("http://www.worldcat.org/oclc/547329","WorldCat Record")</f>
        <v/>
      </c>
      <c r="AU1056" t="inlineStr">
        <is>
          <t>1580956:eng</t>
        </is>
      </c>
      <c r="AV1056" t="inlineStr">
        <is>
          <t>547329</t>
        </is>
      </c>
      <c r="AW1056" t="inlineStr">
        <is>
          <t>991002968419702656</t>
        </is>
      </c>
      <c r="AX1056" t="inlineStr">
        <is>
          <t>991002968419702656</t>
        </is>
      </c>
      <c r="AY1056" t="inlineStr">
        <is>
          <t>2262939420002656</t>
        </is>
      </c>
      <c r="AZ1056" t="inlineStr">
        <is>
          <t>BOOK</t>
        </is>
      </c>
      <c r="BC1056" t="inlineStr">
        <is>
          <t>32285001968535</t>
        </is>
      </c>
      <c r="BD1056" t="inlineStr">
        <is>
          <t>893886975</t>
        </is>
      </c>
    </row>
    <row r="1057">
      <c r="A1057" t="inlineStr">
        <is>
          <t>No</t>
        </is>
      </c>
      <c r="B1057" t="inlineStr">
        <is>
          <t>QD467 .S73</t>
        </is>
      </c>
      <c r="C1057" t="inlineStr">
        <is>
          <t>0                      QD 0467000S  73</t>
        </is>
      </c>
      <c r="D1057" t="inlineStr">
        <is>
          <t>The periodic system of chemical elements : a history of the first hundred years / [By] J. W. van Spronsen.</t>
        </is>
      </c>
      <c r="F1057" t="inlineStr">
        <is>
          <t>No</t>
        </is>
      </c>
      <c r="G1057" t="inlineStr">
        <is>
          <t>1</t>
        </is>
      </c>
      <c r="H1057" t="inlineStr">
        <is>
          <t>No</t>
        </is>
      </c>
      <c r="I1057" t="inlineStr">
        <is>
          <t>No</t>
        </is>
      </c>
      <c r="J1057" t="inlineStr">
        <is>
          <t>0</t>
        </is>
      </c>
      <c r="K1057" t="inlineStr">
        <is>
          <t>Spronsen, J. W. van.</t>
        </is>
      </c>
      <c r="L1057" t="inlineStr">
        <is>
          <t>Amsterdam ; New York : Elsevier, 1969.</t>
        </is>
      </c>
      <c r="M1057" t="inlineStr">
        <is>
          <t>1969</t>
        </is>
      </c>
      <c r="O1057" t="inlineStr">
        <is>
          <t>eng</t>
        </is>
      </c>
      <c r="P1057" t="inlineStr">
        <is>
          <t xml:space="preserve">ne </t>
        </is>
      </c>
      <c r="R1057" t="inlineStr">
        <is>
          <t xml:space="preserve">QD </t>
        </is>
      </c>
      <c r="S1057" t="n">
        <v>7</v>
      </c>
      <c r="T1057" t="n">
        <v>7</v>
      </c>
      <c r="U1057" t="inlineStr">
        <is>
          <t>1998-01-15</t>
        </is>
      </c>
      <c r="V1057" t="inlineStr">
        <is>
          <t>1998-01-15</t>
        </is>
      </c>
      <c r="W1057" t="inlineStr">
        <is>
          <t>1994-12-20</t>
        </is>
      </c>
      <c r="X1057" t="inlineStr">
        <is>
          <t>1994-12-20</t>
        </is>
      </c>
      <c r="Y1057" t="n">
        <v>590</v>
      </c>
      <c r="Z1057" t="n">
        <v>465</v>
      </c>
      <c r="AA1057" t="n">
        <v>480</v>
      </c>
      <c r="AB1057" t="n">
        <v>4</v>
      </c>
      <c r="AC1057" t="n">
        <v>4</v>
      </c>
      <c r="AD1057" t="n">
        <v>24</v>
      </c>
      <c r="AE1057" t="n">
        <v>24</v>
      </c>
      <c r="AF1057" t="n">
        <v>10</v>
      </c>
      <c r="AG1057" t="n">
        <v>10</v>
      </c>
      <c r="AH1057" t="n">
        <v>4</v>
      </c>
      <c r="AI1057" t="n">
        <v>4</v>
      </c>
      <c r="AJ1057" t="n">
        <v>13</v>
      </c>
      <c r="AK1057" t="n">
        <v>13</v>
      </c>
      <c r="AL1057" t="n">
        <v>3</v>
      </c>
      <c r="AM1057" t="n">
        <v>3</v>
      </c>
      <c r="AN1057" t="n">
        <v>0</v>
      </c>
      <c r="AO1057" t="n">
        <v>0</v>
      </c>
      <c r="AP1057" t="inlineStr">
        <is>
          <t>No</t>
        </is>
      </c>
      <c r="AQ1057" t="inlineStr">
        <is>
          <t>Yes</t>
        </is>
      </c>
      <c r="AR1057">
        <f>HYPERLINK("http://catalog.hathitrust.org/Record/001034520","HathiTrust Record")</f>
        <v/>
      </c>
      <c r="AS1057">
        <f>HYPERLINK("https://creighton-primo.hosted.exlibrisgroup.com/primo-explore/search?tab=default_tab&amp;search_scope=EVERYTHING&amp;vid=01CRU&amp;lang=en_US&amp;offset=0&amp;query=any,contains,991000168359702656","Catalog Record")</f>
        <v/>
      </c>
      <c r="AT1057">
        <f>HYPERLINK("http://www.worldcat.org/oclc/61773","WorldCat Record")</f>
        <v/>
      </c>
      <c r="AU1057" t="inlineStr">
        <is>
          <t>836644883:eng</t>
        </is>
      </c>
      <c r="AV1057" t="inlineStr">
        <is>
          <t>61773</t>
        </is>
      </c>
      <c r="AW1057" t="inlineStr">
        <is>
          <t>991000168359702656</t>
        </is>
      </c>
      <c r="AX1057" t="inlineStr">
        <is>
          <t>991000168359702656</t>
        </is>
      </c>
      <c r="AY1057" t="inlineStr">
        <is>
          <t>2255130400002656</t>
        </is>
      </c>
      <c r="AZ1057" t="inlineStr">
        <is>
          <t>BOOK</t>
        </is>
      </c>
      <c r="BB1057" t="inlineStr">
        <is>
          <t>9780444407764</t>
        </is>
      </c>
      <c r="BC1057" t="inlineStr">
        <is>
          <t>32285001984326</t>
        </is>
      </c>
      <c r="BD1057" t="inlineStr">
        <is>
          <t>893620264</t>
        </is>
      </c>
    </row>
    <row r="1058">
      <c r="A1058" t="inlineStr">
        <is>
          <t>No</t>
        </is>
      </c>
      <c r="B1058" t="inlineStr">
        <is>
          <t>QD469 .C74 1979</t>
        </is>
      </c>
      <c r="C1058" t="inlineStr">
        <is>
          <t>0                      QD 0469000C  74          1979</t>
        </is>
      </c>
      <c r="D1058" t="inlineStr">
        <is>
          <t>Coulson's Valence / Roy McWeeny.</t>
        </is>
      </c>
      <c r="F1058" t="inlineStr">
        <is>
          <t>No</t>
        </is>
      </c>
      <c r="G1058" t="inlineStr">
        <is>
          <t>1</t>
        </is>
      </c>
      <c r="H1058" t="inlineStr">
        <is>
          <t>No</t>
        </is>
      </c>
      <c r="I1058" t="inlineStr">
        <is>
          <t>No</t>
        </is>
      </c>
      <c r="J1058" t="inlineStr">
        <is>
          <t>0</t>
        </is>
      </c>
      <c r="K1058" t="inlineStr">
        <is>
          <t>Coulson, C. A. (Charles Alfred), 1910-1974.</t>
        </is>
      </c>
      <c r="L1058" t="inlineStr">
        <is>
          <t>Oxford ; New York : Oxford University Press, 1979.</t>
        </is>
      </c>
      <c r="M1058" t="inlineStr">
        <is>
          <t>1979</t>
        </is>
      </c>
      <c r="N1058" t="inlineStr">
        <is>
          <t>3d ed.</t>
        </is>
      </c>
      <c r="O1058" t="inlineStr">
        <is>
          <t>eng</t>
        </is>
      </c>
      <c r="P1058" t="inlineStr">
        <is>
          <t>enk</t>
        </is>
      </c>
      <c r="R1058" t="inlineStr">
        <is>
          <t xml:space="preserve">QD </t>
        </is>
      </c>
      <c r="S1058" t="n">
        <v>1</v>
      </c>
      <c r="T1058" t="n">
        <v>1</v>
      </c>
      <c r="U1058" t="inlineStr">
        <is>
          <t>2009-04-30</t>
        </is>
      </c>
      <c r="V1058" t="inlineStr">
        <is>
          <t>2009-04-30</t>
        </is>
      </c>
      <c r="W1058" t="inlineStr">
        <is>
          <t>1990-08-15</t>
        </is>
      </c>
      <c r="X1058" t="inlineStr">
        <is>
          <t>1990-08-15</t>
        </is>
      </c>
      <c r="Y1058" t="n">
        <v>545</v>
      </c>
      <c r="Z1058" t="n">
        <v>399</v>
      </c>
      <c r="AA1058" t="n">
        <v>413</v>
      </c>
      <c r="AB1058" t="n">
        <v>3</v>
      </c>
      <c r="AC1058" t="n">
        <v>3</v>
      </c>
      <c r="AD1058" t="n">
        <v>17</v>
      </c>
      <c r="AE1058" t="n">
        <v>18</v>
      </c>
      <c r="AF1058" t="n">
        <v>5</v>
      </c>
      <c r="AG1058" t="n">
        <v>5</v>
      </c>
      <c r="AH1058" t="n">
        <v>4</v>
      </c>
      <c r="AI1058" t="n">
        <v>4</v>
      </c>
      <c r="AJ1058" t="n">
        <v>10</v>
      </c>
      <c r="AK1058" t="n">
        <v>11</v>
      </c>
      <c r="AL1058" t="n">
        <v>2</v>
      </c>
      <c r="AM1058" t="n">
        <v>2</v>
      </c>
      <c r="AN1058" t="n">
        <v>0</v>
      </c>
      <c r="AO1058" t="n">
        <v>0</v>
      </c>
      <c r="AP1058" t="inlineStr">
        <is>
          <t>No</t>
        </is>
      </c>
      <c r="AQ1058" t="inlineStr">
        <is>
          <t>Yes</t>
        </is>
      </c>
      <c r="AR1058">
        <f>HYPERLINK("http://catalog.hathitrust.org/Record/000844881","HathiTrust Record")</f>
        <v/>
      </c>
      <c r="AS1058">
        <f>HYPERLINK("https://creighton-primo.hosted.exlibrisgroup.com/primo-explore/search?tab=default_tab&amp;search_scope=EVERYTHING&amp;vid=01CRU&amp;lang=en_US&amp;offset=0&amp;query=any,contains,991004564589702656","Catalog Record")</f>
        <v/>
      </c>
      <c r="AT1058">
        <f>HYPERLINK("http://www.worldcat.org/oclc/4004192","WorldCat Record")</f>
        <v/>
      </c>
      <c r="AU1058" t="inlineStr">
        <is>
          <t>3372490244:eng</t>
        </is>
      </c>
      <c r="AV1058" t="inlineStr">
        <is>
          <t>4004192</t>
        </is>
      </c>
      <c r="AW1058" t="inlineStr">
        <is>
          <t>991004564589702656</t>
        </is>
      </c>
      <c r="AX1058" t="inlineStr">
        <is>
          <t>991004564589702656</t>
        </is>
      </c>
      <c r="AY1058" t="inlineStr">
        <is>
          <t>2265214540002656</t>
        </is>
      </c>
      <c r="AZ1058" t="inlineStr">
        <is>
          <t>BOOK</t>
        </is>
      </c>
      <c r="BB1058" t="inlineStr">
        <is>
          <t>9780198551447</t>
        </is>
      </c>
      <c r="BC1058" t="inlineStr">
        <is>
          <t>32285000268945</t>
        </is>
      </c>
      <c r="BD1058" t="inlineStr">
        <is>
          <t>893526251</t>
        </is>
      </c>
    </row>
    <row r="1059">
      <c r="A1059" t="inlineStr">
        <is>
          <t>No</t>
        </is>
      </c>
      <c r="B1059" t="inlineStr">
        <is>
          <t>QD47 .N36 2009</t>
        </is>
      </c>
      <c r="C1059" t="inlineStr">
        <is>
          <t>0                      QD 0047000N  36          2009</t>
        </is>
      </c>
      <c r="D1059" t="inlineStr">
        <is>
          <t>Nanotechnology in undergraduate education / Kimberly A.O. Pacheco, Richard W. Schwenz, Wayne E. Jones, Jr., editors ; sponsored by the ACS Division of Chemical Education.</t>
        </is>
      </c>
      <c r="F1059" t="inlineStr">
        <is>
          <t>No</t>
        </is>
      </c>
      <c r="G1059" t="inlineStr">
        <is>
          <t>1</t>
        </is>
      </c>
      <c r="H1059" t="inlineStr">
        <is>
          <t>No</t>
        </is>
      </c>
      <c r="I1059" t="inlineStr">
        <is>
          <t>No</t>
        </is>
      </c>
      <c r="J1059" t="inlineStr">
        <is>
          <t>0</t>
        </is>
      </c>
      <c r="L1059" t="inlineStr">
        <is>
          <t>Washington, DC : American Chemical Society ; [New York] : Distributed by Oxford University Press, c2009.</t>
        </is>
      </c>
      <c r="M1059" t="inlineStr">
        <is>
          <t>2009</t>
        </is>
      </c>
      <c r="O1059" t="inlineStr">
        <is>
          <t>eng</t>
        </is>
      </c>
      <c r="P1059" t="inlineStr">
        <is>
          <t>dcu</t>
        </is>
      </c>
      <c r="Q1059" t="inlineStr">
        <is>
          <t>ACS symposium series ; 1010</t>
        </is>
      </c>
      <c r="R1059" t="inlineStr">
        <is>
          <t xml:space="preserve">QD </t>
        </is>
      </c>
      <c r="S1059" t="n">
        <v>1</v>
      </c>
      <c r="T1059" t="n">
        <v>1</v>
      </c>
      <c r="U1059" t="inlineStr">
        <is>
          <t>2010-08-16</t>
        </is>
      </c>
      <c r="V1059" t="inlineStr">
        <is>
          <t>2010-08-16</t>
        </is>
      </c>
      <c r="W1059" t="inlineStr">
        <is>
          <t>2010-08-16</t>
        </is>
      </c>
      <c r="X1059" t="inlineStr">
        <is>
          <t>2010-08-16</t>
        </is>
      </c>
      <c r="Y1059" t="n">
        <v>168</v>
      </c>
      <c r="Z1059" t="n">
        <v>131</v>
      </c>
      <c r="AA1059" t="n">
        <v>198</v>
      </c>
      <c r="AB1059" t="n">
        <v>3</v>
      </c>
      <c r="AC1059" t="n">
        <v>3</v>
      </c>
      <c r="AD1059" t="n">
        <v>8</v>
      </c>
      <c r="AE1059" t="n">
        <v>8</v>
      </c>
      <c r="AF1059" t="n">
        <v>3</v>
      </c>
      <c r="AG1059" t="n">
        <v>3</v>
      </c>
      <c r="AH1059" t="n">
        <v>1</v>
      </c>
      <c r="AI1059" t="n">
        <v>1</v>
      </c>
      <c r="AJ1059" t="n">
        <v>2</v>
      </c>
      <c r="AK1059" t="n">
        <v>2</v>
      </c>
      <c r="AL1059" t="n">
        <v>2</v>
      </c>
      <c r="AM1059" t="n">
        <v>2</v>
      </c>
      <c r="AN1059" t="n">
        <v>0</v>
      </c>
      <c r="AO1059" t="n">
        <v>0</v>
      </c>
      <c r="AP1059" t="inlineStr">
        <is>
          <t>No</t>
        </is>
      </c>
      <c r="AQ1059" t="inlineStr">
        <is>
          <t>No</t>
        </is>
      </c>
      <c r="AS1059">
        <f>HYPERLINK("https://creighton-primo.hosted.exlibrisgroup.com/primo-explore/search?tab=default_tab&amp;search_scope=EVERYTHING&amp;vid=01CRU&amp;lang=en_US&amp;offset=0&amp;query=any,contains,991000041819702656","Catalog Record")</f>
        <v/>
      </c>
      <c r="AT1059">
        <f>HYPERLINK("http://www.worldcat.org/oclc/419263222","WorldCat Record")</f>
        <v/>
      </c>
      <c r="AU1059" t="inlineStr">
        <is>
          <t>375422574:eng</t>
        </is>
      </c>
      <c r="AV1059" t="inlineStr">
        <is>
          <t>419263222</t>
        </is>
      </c>
      <c r="AW1059" t="inlineStr">
        <is>
          <t>991000041819702656</t>
        </is>
      </c>
      <c r="AX1059" t="inlineStr">
        <is>
          <t>991000041819702656</t>
        </is>
      </c>
      <c r="AY1059" t="inlineStr">
        <is>
          <t>2272650040002656</t>
        </is>
      </c>
      <c r="AZ1059" t="inlineStr">
        <is>
          <t>BOOK</t>
        </is>
      </c>
      <c r="BB1059" t="inlineStr">
        <is>
          <t>9780841269682</t>
        </is>
      </c>
      <c r="BC1059" t="inlineStr">
        <is>
          <t>32285005592372</t>
        </is>
      </c>
      <c r="BD1059" t="inlineStr">
        <is>
          <t>893689357</t>
        </is>
      </c>
    </row>
    <row r="1060">
      <c r="A1060" t="inlineStr">
        <is>
          <t>No</t>
        </is>
      </c>
      <c r="B1060" t="inlineStr">
        <is>
          <t>QD471 .C34</t>
        </is>
      </c>
      <c r="C1060" t="inlineStr">
        <is>
          <t>0                      QD 0471000C  34</t>
        </is>
      </c>
      <c r="D1060" t="inlineStr">
        <is>
          <t>Introduction to magnetic resonance with applications to chemistry and chemical physics [by] Alan Carrington [and] Andrew D. McLachlan.</t>
        </is>
      </c>
      <c r="F1060" t="inlineStr">
        <is>
          <t>No</t>
        </is>
      </c>
      <c r="G1060" t="inlineStr">
        <is>
          <t>1</t>
        </is>
      </c>
      <c r="H1060" t="inlineStr">
        <is>
          <t>No</t>
        </is>
      </c>
      <c r="I1060" t="inlineStr">
        <is>
          <t>No</t>
        </is>
      </c>
      <c r="J1060" t="inlineStr">
        <is>
          <t>0</t>
        </is>
      </c>
      <c r="K1060" t="inlineStr">
        <is>
          <t>Carrington, Alan.</t>
        </is>
      </c>
      <c r="L1060" t="inlineStr">
        <is>
          <t>New York, Harper &amp; Row [1967]</t>
        </is>
      </c>
      <c r="M1060" t="inlineStr">
        <is>
          <t>1967</t>
        </is>
      </c>
      <c r="O1060" t="inlineStr">
        <is>
          <t>eng</t>
        </is>
      </c>
      <c r="P1060" t="inlineStr">
        <is>
          <t>nyu</t>
        </is>
      </c>
      <c r="Q1060" t="inlineStr">
        <is>
          <t>Harper's chemistry series</t>
        </is>
      </c>
      <c r="R1060" t="inlineStr">
        <is>
          <t xml:space="preserve">QD </t>
        </is>
      </c>
      <c r="S1060" t="n">
        <v>1</v>
      </c>
      <c r="T1060" t="n">
        <v>1</v>
      </c>
      <c r="U1060" t="inlineStr">
        <is>
          <t>2003-04-10</t>
        </is>
      </c>
      <c r="V1060" t="inlineStr">
        <is>
          <t>2003-04-10</t>
        </is>
      </c>
      <c r="W1060" t="inlineStr">
        <is>
          <t>1997-06-13</t>
        </is>
      </c>
      <c r="X1060" t="inlineStr">
        <is>
          <t>1997-06-13</t>
        </is>
      </c>
      <c r="Y1060" t="n">
        <v>669</v>
      </c>
      <c r="Z1060" t="n">
        <v>516</v>
      </c>
      <c r="AA1060" t="n">
        <v>592</v>
      </c>
      <c r="AB1060" t="n">
        <v>5</v>
      </c>
      <c r="AC1060" t="n">
        <v>5</v>
      </c>
      <c r="AD1060" t="n">
        <v>25</v>
      </c>
      <c r="AE1060" t="n">
        <v>26</v>
      </c>
      <c r="AF1060" t="n">
        <v>7</v>
      </c>
      <c r="AG1060" t="n">
        <v>8</v>
      </c>
      <c r="AH1060" t="n">
        <v>5</v>
      </c>
      <c r="AI1060" t="n">
        <v>5</v>
      </c>
      <c r="AJ1060" t="n">
        <v>16</v>
      </c>
      <c r="AK1060" t="n">
        <v>17</v>
      </c>
      <c r="AL1060" t="n">
        <v>4</v>
      </c>
      <c r="AM1060" t="n">
        <v>4</v>
      </c>
      <c r="AN1060" t="n">
        <v>0</v>
      </c>
      <c r="AO1060" t="n">
        <v>0</v>
      </c>
      <c r="AP1060" t="inlineStr">
        <is>
          <t>No</t>
        </is>
      </c>
      <c r="AQ1060" t="inlineStr">
        <is>
          <t>Yes</t>
        </is>
      </c>
      <c r="AR1060">
        <f>HYPERLINK("http://catalog.hathitrust.org/Record/001114057","HathiTrust Record")</f>
        <v/>
      </c>
      <c r="AS1060">
        <f>HYPERLINK("https://creighton-primo.hosted.exlibrisgroup.com/primo-explore/search?tab=default_tab&amp;search_scope=EVERYTHING&amp;vid=01CRU&amp;lang=en_US&amp;offset=0&amp;query=any,contains,991002203679702656","Catalog Record")</f>
        <v/>
      </c>
      <c r="AT1060">
        <f>HYPERLINK("http://www.worldcat.org/oclc/285064","WorldCat Record")</f>
        <v/>
      </c>
      <c r="AU1060" t="inlineStr">
        <is>
          <t>1447276:eng</t>
        </is>
      </c>
      <c r="AV1060" t="inlineStr">
        <is>
          <t>285064</t>
        </is>
      </c>
      <c r="AW1060" t="inlineStr">
        <is>
          <t>991002203679702656</t>
        </is>
      </c>
      <c r="AX1060" t="inlineStr">
        <is>
          <t>991002203679702656</t>
        </is>
      </c>
      <c r="AY1060" t="inlineStr">
        <is>
          <t>2263077290002656</t>
        </is>
      </c>
      <c r="AZ1060" t="inlineStr">
        <is>
          <t>BOOK</t>
        </is>
      </c>
      <c r="BC1060" t="inlineStr">
        <is>
          <t>32285002806635</t>
        </is>
      </c>
      <c r="BD1060" t="inlineStr">
        <is>
          <t>893250938</t>
        </is>
      </c>
    </row>
    <row r="1061">
      <c r="A1061" t="inlineStr">
        <is>
          <t>No</t>
        </is>
      </c>
      <c r="B1061" t="inlineStr">
        <is>
          <t>QD471 .F57</t>
        </is>
      </c>
      <c r="C1061" t="inlineStr">
        <is>
          <t>0                      QD 0471000F  57</t>
        </is>
      </c>
      <c r="D1061" t="inlineStr">
        <is>
          <t>Introduction to ligand fields [by] B.N. Figgis.</t>
        </is>
      </c>
      <c r="F1061" t="inlineStr">
        <is>
          <t>No</t>
        </is>
      </c>
      <c r="G1061" t="inlineStr">
        <is>
          <t>1</t>
        </is>
      </c>
      <c r="H1061" t="inlineStr">
        <is>
          <t>No</t>
        </is>
      </c>
      <c r="I1061" t="inlineStr">
        <is>
          <t>No</t>
        </is>
      </c>
      <c r="J1061" t="inlineStr">
        <is>
          <t>0</t>
        </is>
      </c>
      <c r="K1061" t="inlineStr">
        <is>
          <t>Figgis, B. N.</t>
        </is>
      </c>
      <c r="L1061" t="inlineStr">
        <is>
          <t>New York, Interscience Publishers [1966]</t>
        </is>
      </c>
      <c r="M1061" t="inlineStr">
        <is>
          <t>1966</t>
        </is>
      </c>
      <c r="O1061" t="inlineStr">
        <is>
          <t>eng</t>
        </is>
      </c>
      <c r="P1061" t="inlineStr">
        <is>
          <t>nyu</t>
        </is>
      </c>
      <c r="R1061" t="inlineStr">
        <is>
          <t xml:space="preserve">QD </t>
        </is>
      </c>
      <c r="S1061" t="n">
        <v>2</v>
      </c>
      <c r="T1061" t="n">
        <v>2</v>
      </c>
      <c r="U1061" t="inlineStr">
        <is>
          <t>1998-11-17</t>
        </is>
      </c>
      <c r="V1061" t="inlineStr">
        <is>
          <t>1998-11-17</t>
        </is>
      </c>
      <c r="W1061" t="inlineStr">
        <is>
          <t>1997-06-13</t>
        </is>
      </c>
      <c r="X1061" t="inlineStr">
        <is>
          <t>1997-06-13</t>
        </is>
      </c>
      <c r="Y1061" t="n">
        <v>648</v>
      </c>
      <c r="Z1061" t="n">
        <v>514</v>
      </c>
      <c r="AA1061" t="n">
        <v>548</v>
      </c>
      <c r="AB1061" t="n">
        <v>2</v>
      </c>
      <c r="AC1061" t="n">
        <v>2</v>
      </c>
      <c r="AD1061" t="n">
        <v>19</v>
      </c>
      <c r="AE1061" t="n">
        <v>20</v>
      </c>
      <c r="AF1061" t="n">
        <v>9</v>
      </c>
      <c r="AG1061" t="n">
        <v>9</v>
      </c>
      <c r="AH1061" t="n">
        <v>3</v>
      </c>
      <c r="AI1061" t="n">
        <v>3</v>
      </c>
      <c r="AJ1061" t="n">
        <v>12</v>
      </c>
      <c r="AK1061" t="n">
        <v>13</v>
      </c>
      <c r="AL1061" t="n">
        <v>1</v>
      </c>
      <c r="AM1061" t="n">
        <v>1</v>
      </c>
      <c r="AN1061" t="n">
        <v>0</v>
      </c>
      <c r="AO1061" t="n">
        <v>0</v>
      </c>
      <c r="AP1061" t="inlineStr">
        <is>
          <t>No</t>
        </is>
      </c>
      <c r="AQ1061" t="inlineStr">
        <is>
          <t>Yes</t>
        </is>
      </c>
      <c r="AR1061">
        <f>HYPERLINK("http://catalog.hathitrust.org/Record/001034551","HathiTrust Record")</f>
        <v/>
      </c>
      <c r="AS1061">
        <f>HYPERLINK("https://creighton-primo.hosted.exlibrisgroup.com/primo-explore/search?tab=default_tab&amp;search_scope=EVERYTHING&amp;vid=01CRU&amp;lang=en_US&amp;offset=0&amp;query=any,contains,991002958999702656","Catalog Record")</f>
        <v/>
      </c>
      <c r="AT1061">
        <f>HYPERLINK("http://www.worldcat.org/oclc/543217","WorldCat Record")</f>
        <v/>
      </c>
      <c r="AU1061" t="inlineStr">
        <is>
          <t>1387542:eng</t>
        </is>
      </c>
      <c r="AV1061" t="inlineStr">
        <is>
          <t>543217</t>
        </is>
      </c>
      <c r="AW1061" t="inlineStr">
        <is>
          <t>991002958999702656</t>
        </is>
      </c>
      <c r="AX1061" t="inlineStr">
        <is>
          <t>991002958999702656</t>
        </is>
      </c>
      <c r="AY1061" t="inlineStr">
        <is>
          <t>2265507080002656</t>
        </is>
      </c>
      <c r="AZ1061" t="inlineStr">
        <is>
          <t>BOOK</t>
        </is>
      </c>
      <c r="BC1061" t="inlineStr">
        <is>
          <t>32285002806668</t>
        </is>
      </c>
      <c r="BD1061" t="inlineStr">
        <is>
          <t>893880648</t>
        </is>
      </c>
    </row>
    <row r="1062">
      <c r="A1062" t="inlineStr">
        <is>
          <t>No</t>
        </is>
      </c>
      <c r="B1062" t="inlineStr">
        <is>
          <t>QD471 .H9 1963</t>
        </is>
      </c>
      <c r="C1062" t="inlineStr">
        <is>
          <t>0                      QD 0471000H  9           1963</t>
        </is>
      </c>
      <c r="D1062" t="inlineStr">
        <is>
          <t>Inorganic polymers.</t>
        </is>
      </c>
      <c r="F1062" t="inlineStr">
        <is>
          <t>No</t>
        </is>
      </c>
      <c r="G1062" t="inlineStr">
        <is>
          <t>1</t>
        </is>
      </c>
      <c r="H1062" t="inlineStr">
        <is>
          <t>No</t>
        </is>
      </c>
      <c r="I1062" t="inlineStr">
        <is>
          <t>No</t>
        </is>
      </c>
      <c r="J1062" t="inlineStr">
        <is>
          <t>0</t>
        </is>
      </c>
      <c r="K1062" t="inlineStr">
        <is>
          <t>Hunter, D. N.</t>
        </is>
      </c>
      <c r="L1062" t="inlineStr">
        <is>
          <t>New York, J. Wiley [1963]</t>
        </is>
      </c>
      <c r="M1062" t="inlineStr">
        <is>
          <t>1963</t>
        </is>
      </c>
      <c r="O1062" t="inlineStr">
        <is>
          <t>eng</t>
        </is>
      </c>
      <c r="P1062" t="inlineStr">
        <is>
          <t>nyu</t>
        </is>
      </c>
      <c r="R1062" t="inlineStr">
        <is>
          <t xml:space="preserve">QD </t>
        </is>
      </c>
      <c r="S1062" t="n">
        <v>1</v>
      </c>
      <c r="T1062" t="n">
        <v>1</v>
      </c>
      <c r="U1062" t="inlineStr">
        <is>
          <t>1999-10-12</t>
        </is>
      </c>
      <c r="V1062" t="inlineStr">
        <is>
          <t>1999-10-12</t>
        </is>
      </c>
      <c r="W1062" t="inlineStr">
        <is>
          <t>1997-06-13</t>
        </is>
      </c>
      <c r="X1062" t="inlineStr">
        <is>
          <t>1997-06-13</t>
        </is>
      </c>
      <c r="Y1062" t="n">
        <v>249</v>
      </c>
      <c r="Z1062" t="n">
        <v>219</v>
      </c>
      <c r="AA1062" t="n">
        <v>242</v>
      </c>
      <c r="AB1062" t="n">
        <v>2</v>
      </c>
      <c r="AC1062" t="n">
        <v>2</v>
      </c>
      <c r="AD1062" t="n">
        <v>6</v>
      </c>
      <c r="AE1062" t="n">
        <v>7</v>
      </c>
      <c r="AF1062" t="n">
        <v>2</v>
      </c>
      <c r="AG1062" t="n">
        <v>2</v>
      </c>
      <c r="AH1062" t="n">
        <v>1</v>
      </c>
      <c r="AI1062" t="n">
        <v>2</v>
      </c>
      <c r="AJ1062" t="n">
        <v>4</v>
      </c>
      <c r="AK1062" t="n">
        <v>4</v>
      </c>
      <c r="AL1062" t="n">
        <v>1</v>
      </c>
      <c r="AM1062" t="n">
        <v>1</v>
      </c>
      <c r="AN1062" t="n">
        <v>0</v>
      </c>
      <c r="AO1062" t="n">
        <v>0</v>
      </c>
      <c r="AP1062" t="inlineStr">
        <is>
          <t>Yes</t>
        </is>
      </c>
      <c r="AQ1062" t="inlineStr">
        <is>
          <t>Yes</t>
        </is>
      </c>
      <c r="AR1062">
        <f>HYPERLINK("http://catalog.hathitrust.org/Record/001034556","HathiTrust Record")</f>
        <v/>
      </c>
      <c r="AS1062">
        <f>HYPERLINK("https://creighton-primo.hosted.exlibrisgroup.com/primo-explore/search?tab=default_tab&amp;search_scope=EVERYTHING&amp;vid=01CRU&amp;lang=en_US&amp;offset=0&amp;query=any,contains,991002960909702656","Catalog Record")</f>
        <v/>
      </c>
      <c r="AT1062">
        <f>HYPERLINK("http://www.worldcat.org/oclc/543953","WorldCat Record")</f>
        <v/>
      </c>
      <c r="AU1062" t="inlineStr">
        <is>
          <t>1574579:eng</t>
        </is>
      </c>
      <c r="AV1062" t="inlineStr">
        <is>
          <t>543953</t>
        </is>
      </c>
      <c r="AW1062" t="inlineStr">
        <is>
          <t>991002960909702656</t>
        </is>
      </c>
      <c r="AX1062" t="inlineStr">
        <is>
          <t>991002960909702656</t>
        </is>
      </c>
      <c r="AY1062" t="inlineStr">
        <is>
          <t>2265273660002656</t>
        </is>
      </c>
      <c r="AZ1062" t="inlineStr">
        <is>
          <t>BOOK</t>
        </is>
      </c>
      <c r="BC1062" t="inlineStr">
        <is>
          <t>32285002806718</t>
        </is>
      </c>
      <c r="BD1062" t="inlineStr">
        <is>
          <t>893335957</t>
        </is>
      </c>
    </row>
    <row r="1063">
      <c r="A1063" t="inlineStr">
        <is>
          <t>No</t>
        </is>
      </c>
      <c r="B1063" t="inlineStr">
        <is>
          <t>QD471 .J644 no. 62</t>
        </is>
      </c>
      <c r="C1063" t="inlineStr">
        <is>
          <t>0                      QD 0471000J  644                                                     no. 62</t>
        </is>
      </c>
      <c r="D1063" t="inlineStr">
        <is>
          <t>International Symposium on Macromolecules : invited lectures presented at the International Symposium on Macromolecules held under the auspices of the International Union of Pure and Applied Chemistry, organized by the Institute of Industrial Research and Standards, Dublin, Dublin, Ireland, 17-22 July 1977 / Dublin University Chairman of the Program and Executive Committee, D. C. Pepper ; editors, C. G. Overberger, H. Mark.</t>
        </is>
      </c>
      <c r="E1063" t="inlineStr">
        <is>
          <t>no. 62*</t>
        </is>
      </c>
      <c r="F1063" t="inlineStr">
        <is>
          <t>No</t>
        </is>
      </c>
      <c r="G1063" t="inlineStr">
        <is>
          <t>1</t>
        </is>
      </c>
      <c r="H1063" t="inlineStr">
        <is>
          <t>No</t>
        </is>
      </c>
      <c r="I1063" t="inlineStr">
        <is>
          <t>No</t>
        </is>
      </c>
      <c r="J1063" t="inlineStr">
        <is>
          <t>0</t>
        </is>
      </c>
      <c r="K1063" t="inlineStr">
        <is>
          <t>International Symposium on Macromolecules (1977 : Dublin, Ireland)</t>
        </is>
      </c>
      <c r="L1063" t="inlineStr">
        <is>
          <t>New York : Wiley, 1978.</t>
        </is>
      </c>
      <c r="M1063" t="inlineStr">
        <is>
          <t>1978</t>
        </is>
      </c>
      <c r="O1063" t="inlineStr">
        <is>
          <t>eng</t>
        </is>
      </c>
      <c r="P1063" t="inlineStr">
        <is>
          <t>nyu</t>
        </is>
      </c>
      <c r="Q1063" t="inlineStr">
        <is>
          <t>Journal of polymer science. Polymer symposia, 0360-8905 ; no. 62</t>
        </is>
      </c>
      <c r="R1063" t="inlineStr">
        <is>
          <t xml:space="preserve">QD </t>
        </is>
      </c>
      <c r="S1063" t="n">
        <v>4</v>
      </c>
      <c r="T1063" t="n">
        <v>4</v>
      </c>
      <c r="U1063" t="inlineStr">
        <is>
          <t>1994-11-27</t>
        </is>
      </c>
      <c r="V1063" t="inlineStr">
        <is>
          <t>1994-11-27</t>
        </is>
      </c>
      <c r="W1063" t="inlineStr">
        <is>
          <t>1993-11-03</t>
        </is>
      </c>
      <c r="X1063" t="inlineStr">
        <is>
          <t>1993-11-03</t>
        </is>
      </c>
      <c r="Y1063" t="n">
        <v>98</v>
      </c>
      <c r="Z1063" t="n">
        <v>84</v>
      </c>
      <c r="AA1063" t="n">
        <v>89</v>
      </c>
      <c r="AB1063" t="n">
        <v>1</v>
      </c>
      <c r="AC1063" t="n">
        <v>1</v>
      </c>
      <c r="AD1063" t="n">
        <v>1</v>
      </c>
      <c r="AE1063" t="n">
        <v>1</v>
      </c>
      <c r="AF1063" t="n">
        <v>0</v>
      </c>
      <c r="AG1063" t="n">
        <v>0</v>
      </c>
      <c r="AH1063" t="n">
        <v>0</v>
      </c>
      <c r="AI1063" t="n">
        <v>0</v>
      </c>
      <c r="AJ1063" t="n">
        <v>1</v>
      </c>
      <c r="AK1063" t="n">
        <v>1</v>
      </c>
      <c r="AL1063" t="n">
        <v>0</v>
      </c>
      <c r="AM1063" t="n">
        <v>0</v>
      </c>
      <c r="AN1063" t="n">
        <v>0</v>
      </c>
      <c r="AO1063" t="n">
        <v>0</v>
      </c>
      <c r="AP1063" t="inlineStr">
        <is>
          <t>No</t>
        </is>
      </c>
      <c r="AQ1063" t="inlineStr">
        <is>
          <t>No</t>
        </is>
      </c>
      <c r="AS1063">
        <f>HYPERLINK("https://creighton-primo.hosted.exlibrisgroup.com/primo-explore/search?tab=default_tab&amp;search_scope=EVERYTHING&amp;vid=01CRU&amp;lang=en_US&amp;offset=0&amp;query=any,contains,991004668019702656","Catalog Record")</f>
        <v/>
      </c>
      <c r="AT1063">
        <f>HYPERLINK("http://www.worldcat.org/oclc/6448585","WorldCat Record")</f>
        <v/>
      </c>
      <c r="AU1063" t="inlineStr">
        <is>
          <t>365645134:eng</t>
        </is>
      </c>
      <c r="AV1063" t="inlineStr">
        <is>
          <t>6448585</t>
        </is>
      </c>
      <c r="AW1063" t="inlineStr">
        <is>
          <t>991004668019702656</t>
        </is>
      </c>
      <c r="AX1063" t="inlineStr">
        <is>
          <t>991004668019702656</t>
        </is>
      </c>
      <c r="AY1063" t="inlineStr">
        <is>
          <t>2272075110002656</t>
        </is>
      </c>
      <c r="AZ1063" t="inlineStr">
        <is>
          <t>BOOK</t>
        </is>
      </c>
      <c r="BB1063" t="inlineStr">
        <is>
          <t>9780471056027</t>
        </is>
      </c>
      <c r="BC1063" t="inlineStr">
        <is>
          <t>32285001791101</t>
        </is>
      </c>
      <c r="BD1063" t="inlineStr">
        <is>
          <t>893344111</t>
        </is>
      </c>
    </row>
    <row r="1064">
      <c r="A1064" t="inlineStr">
        <is>
          <t>No</t>
        </is>
      </c>
      <c r="B1064" t="inlineStr">
        <is>
          <t>QD471 .J644 no. 66</t>
        </is>
      </c>
      <c r="C1064" t="inlineStr">
        <is>
          <t>0                      QD 0471000J  644                                                     no. 66</t>
        </is>
      </c>
      <c r="D1064" t="inlineStr">
        <is>
          <t>Medical polymers : chemical problems : proceedings of the 17th Prague IUPAC Microsymposium on Macromolecules, Prague, Czechoslovakia, 15-18 August 1977 / held under the auspices of the International Union of Pure and Applied Chemistry, the Czechoslovak Academy of Sciences, and the Czechoslovak Chemical Society editors, B. Sedlác̆ek, C. G. Overberger, H. F. Mark.</t>
        </is>
      </c>
      <c r="E1064" t="inlineStr">
        <is>
          <t>no. 66*</t>
        </is>
      </c>
      <c r="F1064" t="inlineStr">
        <is>
          <t>No</t>
        </is>
      </c>
      <c r="G1064" t="inlineStr">
        <is>
          <t>1</t>
        </is>
      </c>
      <c r="H1064" t="inlineStr">
        <is>
          <t>No</t>
        </is>
      </c>
      <c r="I1064" t="inlineStr">
        <is>
          <t>No</t>
        </is>
      </c>
      <c r="J1064" t="inlineStr">
        <is>
          <t>0</t>
        </is>
      </c>
      <c r="K1064" t="inlineStr">
        <is>
          <t>Prague IUPAC Microsymposium on Macromolecules (17th : 1977)</t>
        </is>
      </c>
      <c r="L1064" t="inlineStr">
        <is>
          <t>New York : Wiley, 1979.</t>
        </is>
      </c>
      <c r="M1064" t="inlineStr">
        <is>
          <t>1979</t>
        </is>
      </c>
      <c r="O1064" t="inlineStr">
        <is>
          <t>eng</t>
        </is>
      </c>
      <c r="P1064" t="inlineStr">
        <is>
          <t>nyu</t>
        </is>
      </c>
      <c r="Q1064" t="inlineStr">
        <is>
          <t>Journal of polymer science</t>
        </is>
      </c>
      <c r="R1064" t="inlineStr">
        <is>
          <t xml:space="preserve">QD </t>
        </is>
      </c>
      <c r="S1064" t="n">
        <v>1</v>
      </c>
      <c r="T1064" t="n">
        <v>1</v>
      </c>
      <c r="U1064" t="inlineStr">
        <is>
          <t>1994-04-05</t>
        </is>
      </c>
      <c r="V1064" t="inlineStr">
        <is>
          <t>1994-04-05</t>
        </is>
      </c>
      <c r="W1064" t="inlineStr">
        <is>
          <t>1993-11-03</t>
        </is>
      </c>
      <c r="X1064" t="inlineStr">
        <is>
          <t>1993-11-03</t>
        </is>
      </c>
      <c r="Y1064" t="n">
        <v>104</v>
      </c>
      <c r="Z1064" t="n">
        <v>87</v>
      </c>
      <c r="AA1064" t="n">
        <v>91</v>
      </c>
      <c r="AB1064" t="n">
        <v>1</v>
      </c>
      <c r="AC1064" t="n">
        <v>1</v>
      </c>
      <c r="AD1064" t="n">
        <v>1</v>
      </c>
      <c r="AE1064" t="n">
        <v>1</v>
      </c>
      <c r="AF1064" t="n">
        <v>0</v>
      </c>
      <c r="AG1064" t="n">
        <v>0</v>
      </c>
      <c r="AH1064" t="n">
        <v>0</v>
      </c>
      <c r="AI1064" t="n">
        <v>0</v>
      </c>
      <c r="AJ1064" t="n">
        <v>1</v>
      </c>
      <c r="AK1064" t="n">
        <v>1</v>
      </c>
      <c r="AL1064" t="n">
        <v>0</v>
      </c>
      <c r="AM1064" t="n">
        <v>0</v>
      </c>
      <c r="AN1064" t="n">
        <v>0</v>
      </c>
      <c r="AO1064" t="n">
        <v>0</v>
      </c>
      <c r="AP1064" t="inlineStr">
        <is>
          <t>No</t>
        </is>
      </c>
      <c r="AQ1064" t="inlineStr">
        <is>
          <t>No</t>
        </is>
      </c>
      <c r="AS1064">
        <f>HYPERLINK("https://creighton-primo.hosted.exlibrisgroup.com/primo-explore/search?tab=default_tab&amp;search_scope=EVERYTHING&amp;vid=01CRU&amp;lang=en_US&amp;offset=0&amp;query=any,contains,991004875049702656","Catalog Record")</f>
        <v/>
      </c>
      <c r="AT1064">
        <f>HYPERLINK("http://www.worldcat.org/oclc/7178749","WorldCat Record")</f>
        <v/>
      </c>
      <c r="AU1064" t="inlineStr">
        <is>
          <t>1998576294:eng</t>
        </is>
      </c>
      <c r="AV1064" t="inlineStr">
        <is>
          <t>7178749</t>
        </is>
      </c>
      <c r="AW1064" t="inlineStr">
        <is>
          <t>991004875049702656</t>
        </is>
      </c>
      <c r="AX1064" t="inlineStr">
        <is>
          <t>991004875049702656</t>
        </is>
      </c>
      <c r="AY1064" t="inlineStr">
        <is>
          <t>2271496790002656</t>
        </is>
      </c>
      <c r="AZ1064" t="inlineStr">
        <is>
          <t>BOOK</t>
        </is>
      </c>
      <c r="BC1064" t="inlineStr">
        <is>
          <t>32285001791143</t>
        </is>
      </c>
      <c r="BD1064" t="inlineStr">
        <is>
          <t>893446437</t>
        </is>
      </c>
    </row>
    <row r="1065">
      <c r="A1065" t="inlineStr">
        <is>
          <t>No</t>
        </is>
      </c>
      <c r="B1065" t="inlineStr">
        <is>
          <t>QD471 .J644 no.48</t>
        </is>
      </c>
      <c r="C1065" t="inlineStr">
        <is>
          <t>0                      QD 0471000J  644                                                     no.48</t>
        </is>
      </c>
      <c r="D1065" t="inlineStr">
        <is>
          <t>Rubber and rubber elasticity : a symposium held at the University of Manchester, England, March 27 and 28, 1974, in honor of Professor L. R. G. Treloar, to mark his retirement from the Department of Polymer and Fibre Science in the University of Manchester Institute of Science and Technology / edited by A. S. Dunn.</t>
        </is>
      </c>
      <c r="E1065" t="inlineStr">
        <is>
          <t>no.48*</t>
        </is>
      </c>
      <c r="F1065" t="inlineStr">
        <is>
          <t>No</t>
        </is>
      </c>
      <c r="G1065" t="inlineStr">
        <is>
          <t>1</t>
        </is>
      </c>
      <c r="H1065" t="inlineStr">
        <is>
          <t>No</t>
        </is>
      </c>
      <c r="I1065" t="inlineStr">
        <is>
          <t>No</t>
        </is>
      </c>
      <c r="J1065" t="inlineStr">
        <is>
          <t>0</t>
        </is>
      </c>
      <c r="L1065" t="inlineStr">
        <is>
          <t>New York : Wiley, 1974.</t>
        </is>
      </c>
      <c r="M1065" t="inlineStr">
        <is>
          <t>1974</t>
        </is>
      </c>
      <c r="O1065" t="inlineStr">
        <is>
          <t>eng</t>
        </is>
      </c>
      <c r="P1065" t="inlineStr">
        <is>
          <t>nyu</t>
        </is>
      </c>
      <c r="Q1065" t="inlineStr">
        <is>
          <t>Journal of polymer science</t>
        </is>
      </c>
      <c r="R1065" t="inlineStr">
        <is>
          <t xml:space="preserve">QD </t>
        </is>
      </c>
      <c r="S1065" t="n">
        <v>1</v>
      </c>
      <c r="T1065" t="n">
        <v>1</v>
      </c>
      <c r="U1065" t="inlineStr">
        <is>
          <t>2003-11-09</t>
        </is>
      </c>
      <c r="V1065" t="inlineStr">
        <is>
          <t>2003-11-09</t>
        </is>
      </c>
      <c r="W1065" t="inlineStr">
        <is>
          <t>2000-06-15</t>
        </is>
      </c>
      <c r="X1065" t="inlineStr">
        <is>
          <t>2000-06-15</t>
        </is>
      </c>
      <c r="Y1065" t="n">
        <v>128</v>
      </c>
      <c r="Z1065" t="n">
        <v>100</v>
      </c>
      <c r="AA1065" t="n">
        <v>100</v>
      </c>
      <c r="AB1065" t="n">
        <v>1</v>
      </c>
      <c r="AC1065" t="n">
        <v>1</v>
      </c>
      <c r="AD1065" t="n">
        <v>2</v>
      </c>
      <c r="AE1065" t="n">
        <v>2</v>
      </c>
      <c r="AF1065" t="n">
        <v>0</v>
      </c>
      <c r="AG1065" t="n">
        <v>0</v>
      </c>
      <c r="AH1065" t="n">
        <v>0</v>
      </c>
      <c r="AI1065" t="n">
        <v>0</v>
      </c>
      <c r="AJ1065" t="n">
        <v>2</v>
      </c>
      <c r="AK1065" t="n">
        <v>2</v>
      </c>
      <c r="AL1065" t="n">
        <v>0</v>
      </c>
      <c r="AM1065" t="n">
        <v>0</v>
      </c>
      <c r="AN1065" t="n">
        <v>0</v>
      </c>
      <c r="AO1065" t="n">
        <v>0</v>
      </c>
      <c r="AP1065" t="inlineStr">
        <is>
          <t>No</t>
        </is>
      </c>
      <c r="AQ1065" t="inlineStr">
        <is>
          <t>No</t>
        </is>
      </c>
      <c r="AS1065">
        <f>HYPERLINK("https://creighton-primo.hosted.exlibrisgroup.com/primo-explore/search?tab=default_tab&amp;search_scope=EVERYTHING&amp;vid=01CRU&amp;lang=en_US&amp;offset=0&amp;query=any,contains,991003111169702656","Catalog Record")</f>
        <v/>
      </c>
      <c r="AT1065">
        <f>HYPERLINK("http://www.worldcat.org/oclc/2041883","WorldCat Record")</f>
        <v/>
      </c>
      <c r="AU1065" t="inlineStr">
        <is>
          <t>365309228:eng</t>
        </is>
      </c>
      <c r="AV1065" t="inlineStr">
        <is>
          <t>2041883</t>
        </is>
      </c>
      <c r="AW1065" t="inlineStr">
        <is>
          <t>991003111169702656</t>
        </is>
      </c>
      <c r="AX1065" t="inlineStr">
        <is>
          <t>991003111169702656</t>
        </is>
      </c>
      <c r="AY1065" t="inlineStr">
        <is>
          <t>2272233090002656</t>
        </is>
      </c>
      <c r="AZ1065" t="inlineStr">
        <is>
          <t>BOOK</t>
        </is>
      </c>
      <c r="BC1065" t="inlineStr">
        <is>
          <t>32285001790970</t>
        </is>
      </c>
      <c r="BD1065" t="inlineStr">
        <is>
          <t>893422188</t>
        </is>
      </c>
    </row>
    <row r="1066">
      <c r="A1066" t="inlineStr">
        <is>
          <t>No</t>
        </is>
      </c>
      <c r="B1066" t="inlineStr">
        <is>
          <t>QD471 .J644 no.75</t>
        </is>
      </c>
      <c r="C1066" t="inlineStr">
        <is>
          <t>0                      QD 0471000J  644                                                     no.75</t>
        </is>
      </c>
      <c r="D1066" t="inlineStr">
        <is>
          <t>Polymers to the year 2000 and beyond : a memorial symposium for Herman F. Mark / editors, Sheldon M. Atlas, Eli M. Pearce, F.R. Eirich.</t>
        </is>
      </c>
      <c r="E1066" t="inlineStr">
        <is>
          <t>no.75*</t>
        </is>
      </c>
      <c r="F1066" t="inlineStr">
        <is>
          <t>No</t>
        </is>
      </c>
      <c r="G1066" t="inlineStr">
        <is>
          <t>1</t>
        </is>
      </c>
      <c r="H1066" t="inlineStr">
        <is>
          <t>No</t>
        </is>
      </c>
      <c r="I1066" t="inlineStr">
        <is>
          <t>No</t>
        </is>
      </c>
      <c r="J1066" t="inlineStr">
        <is>
          <t>0</t>
        </is>
      </c>
      <c r="L1066" t="inlineStr">
        <is>
          <t>New York, N.Y. : Wiley, c1993.</t>
        </is>
      </c>
      <c r="M1066" t="inlineStr">
        <is>
          <t>1993</t>
        </is>
      </c>
      <c r="O1066" t="inlineStr">
        <is>
          <t>eng</t>
        </is>
      </c>
      <c r="P1066" t="inlineStr">
        <is>
          <t>nyu</t>
        </is>
      </c>
      <c r="Q1066" t="inlineStr">
        <is>
          <t>Journal of polymer science. Part C : Polymer symposia ; no. 75</t>
        </is>
      </c>
      <c r="R1066" t="inlineStr">
        <is>
          <t xml:space="preserve">QD </t>
        </is>
      </c>
      <c r="S1066" t="n">
        <v>2</v>
      </c>
      <c r="T1066" t="n">
        <v>2</v>
      </c>
      <c r="U1066" t="inlineStr">
        <is>
          <t>1997-04-19</t>
        </is>
      </c>
      <c r="V1066" t="inlineStr">
        <is>
          <t>1997-04-19</t>
        </is>
      </c>
      <c r="W1066" t="inlineStr">
        <is>
          <t>1993-11-03</t>
        </is>
      </c>
      <c r="X1066" t="inlineStr">
        <is>
          <t>1993-11-03</t>
        </is>
      </c>
      <c r="Y1066" t="n">
        <v>151</v>
      </c>
      <c r="Z1066" t="n">
        <v>115</v>
      </c>
      <c r="AA1066" t="n">
        <v>119</v>
      </c>
      <c r="AB1066" t="n">
        <v>1</v>
      </c>
      <c r="AC1066" t="n">
        <v>1</v>
      </c>
      <c r="AD1066" t="n">
        <v>1</v>
      </c>
      <c r="AE1066" t="n">
        <v>1</v>
      </c>
      <c r="AF1066" t="n">
        <v>0</v>
      </c>
      <c r="AG1066" t="n">
        <v>0</v>
      </c>
      <c r="AH1066" t="n">
        <v>1</v>
      </c>
      <c r="AI1066" t="n">
        <v>1</v>
      </c>
      <c r="AJ1066" t="n">
        <v>1</v>
      </c>
      <c r="AK1066" t="n">
        <v>1</v>
      </c>
      <c r="AL1066" t="n">
        <v>0</v>
      </c>
      <c r="AM1066" t="n">
        <v>0</v>
      </c>
      <c r="AN1066" t="n">
        <v>0</v>
      </c>
      <c r="AO1066" t="n">
        <v>0</v>
      </c>
      <c r="AP1066" t="inlineStr">
        <is>
          <t>No</t>
        </is>
      </c>
      <c r="AQ1066" t="inlineStr">
        <is>
          <t>Yes</t>
        </is>
      </c>
      <c r="AR1066">
        <f>HYPERLINK("http://catalog.hathitrust.org/Record/002786361","HathiTrust Record")</f>
        <v/>
      </c>
      <c r="AS1066">
        <f>HYPERLINK("https://creighton-primo.hosted.exlibrisgroup.com/primo-explore/search?tab=default_tab&amp;search_scope=EVERYTHING&amp;vid=01CRU&amp;lang=en_US&amp;offset=0&amp;query=any,contains,991002238569702656","Catalog Record")</f>
        <v/>
      </c>
      <c r="AT1066">
        <f>HYPERLINK("http://www.worldcat.org/oclc/28867566","WorldCat Record")</f>
        <v/>
      </c>
      <c r="AU1066" t="inlineStr">
        <is>
          <t>364438185:eng</t>
        </is>
      </c>
      <c r="AV1066" t="inlineStr">
        <is>
          <t>28867566</t>
        </is>
      </c>
      <c r="AW1066" t="inlineStr">
        <is>
          <t>991002238569702656</t>
        </is>
      </c>
      <c r="AX1066" t="inlineStr">
        <is>
          <t>991002238569702656</t>
        </is>
      </c>
      <c r="AY1066" t="inlineStr">
        <is>
          <t>2259892050002656</t>
        </is>
      </c>
      <c r="AZ1066" t="inlineStr">
        <is>
          <t>BOOK</t>
        </is>
      </c>
      <c r="BC1066" t="inlineStr">
        <is>
          <t>32285001800498</t>
        </is>
      </c>
      <c r="BD1066" t="inlineStr">
        <is>
          <t>893510486</t>
        </is>
      </c>
    </row>
    <row r="1067">
      <c r="A1067" t="inlineStr">
        <is>
          <t>No</t>
        </is>
      </c>
      <c r="B1067" t="inlineStr">
        <is>
          <t>QD471 .K47516 2007</t>
        </is>
      </c>
      <c r="C1067" t="inlineStr">
        <is>
          <t>0                      QD 0471000K  47516       2007</t>
        </is>
      </c>
      <c r="D1067" t="inlineStr">
        <is>
          <t>Symmetry and structure : readable group theory for chemists / Sidney F.A. Kettle.</t>
        </is>
      </c>
      <c r="F1067" t="inlineStr">
        <is>
          <t>No</t>
        </is>
      </c>
      <c r="G1067" t="inlineStr">
        <is>
          <t>1</t>
        </is>
      </c>
      <c r="H1067" t="inlineStr">
        <is>
          <t>No</t>
        </is>
      </c>
      <c r="I1067" t="inlineStr">
        <is>
          <t>No</t>
        </is>
      </c>
      <c r="J1067" t="inlineStr">
        <is>
          <t>0</t>
        </is>
      </c>
      <c r="K1067" t="inlineStr">
        <is>
          <t>Kettle, S. F. A. (Sidney Francis Alan)</t>
        </is>
      </c>
      <c r="L1067" t="inlineStr">
        <is>
          <t>Chichester, England ; Hoboken, NJ : John Wiley, c2007.</t>
        </is>
      </c>
      <c r="M1067" t="inlineStr">
        <is>
          <t>2007</t>
        </is>
      </c>
      <c r="N1067" t="inlineStr">
        <is>
          <t>3rd ed.</t>
        </is>
      </c>
      <c r="O1067" t="inlineStr">
        <is>
          <t>eng</t>
        </is>
      </c>
      <c r="P1067" t="inlineStr">
        <is>
          <t>enk</t>
        </is>
      </c>
      <c r="R1067" t="inlineStr">
        <is>
          <t xml:space="preserve">QD </t>
        </is>
      </c>
      <c r="S1067" t="n">
        <v>1</v>
      </c>
      <c r="T1067" t="n">
        <v>1</v>
      </c>
      <c r="U1067" t="inlineStr">
        <is>
          <t>2008-04-02</t>
        </is>
      </c>
      <c r="V1067" t="inlineStr">
        <is>
          <t>2008-04-02</t>
        </is>
      </c>
      <c r="W1067" t="inlineStr">
        <is>
          <t>2008-04-02</t>
        </is>
      </c>
      <c r="X1067" t="inlineStr">
        <is>
          <t>2008-04-02</t>
        </is>
      </c>
      <c r="Y1067" t="n">
        <v>256</v>
      </c>
      <c r="Z1067" t="n">
        <v>161</v>
      </c>
      <c r="AA1067" t="n">
        <v>716</v>
      </c>
      <c r="AB1067" t="n">
        <v>3</v>
      </c>
      <c r="AC1067" t="n">
        <v>6</v>
      </c>
      <c r="AD1067" t="n">
        <v>15</v>
      </c>
      <c r="AE1067" t="n">
        <v>39</v>
      </c>
      <c r="AF1067" t="n">
        <v>6</v>
      </c>
      <c r="AG1067" t="n">
        <v>18</v>
      </c>
      <c r="AH1067" t="n">
        <v>2</v>
      </c>
      <c r="AI1067" t="n">
        <v>7</v>
      </c>
      <c r="AJ1067" t="n">
        <v>10</v>
      </c>
      <c r="AK1067" t="n">
        <v>18</v>
      </c>
      <c r="AL1067" t="n">
        <v>2</v>
      </c>
      <c r="AM1067" t="n">
        <v>5</v>
      </c>
      <c r="AN1067" t="n">
        <v>0</v>
      </c>
      <c r="AO1067" t="n">
        <v>0</v>
      </c>
      <c r="AP1067" t="inlineStr">
        <is>
          <t>No</t>
        </is>
      </c>
      <c r="AQ1067" t="inlineStr">
        <is>
          <t>No</t>
        </is>
      </c>
      <c r="AS1067">
        <f>HYPERLINK("https://creighton-primo.hosted.exlibrisgroup.com/primo-explore/search?tab=default_tab&amp;search_scope=EVERYTHING&amp;vid=01CRU&amp;lang=en_US&amp;offset=0&amp;query=any,contains,991005200739702656","Catalog Record")</f>
        <v/>
      </c>
      <c r="AT1067">
        <f>HYPERLINK("http://www.worldcat.org/oclc/122715447","WorldCat Record")</f>
        <v/>
      </c>
      <c r="AU1067" t="inlineStr">
        <is>
          <t>497719539:eng</t>
        </is>
      </c>
      <c r="AV1067" t="inlineStr">
        <is>
          <t>122715447</t>
        </is>
      </c>
      <c r="AW1067" t="inlineStr">
        <is>
          <t>991005200739702656</t>
        </is>
      </c>
      <c r="AX1067" t="inlineStr">
        <is>
          <t>991005200739702656</t>
        </is>
      </c>
      <c r="AY1067" t="inlineStr">
        <is>
          <t>2270017010002656</t>
        </is>
      </c>
      <c r="AZ1067" t="inlineStr">
        <is>
          <t>BOOK</t>
        </is>
      </c>
      <c r="BB1067" t="inlineStr">
        <is>
          <t>9780470060391</t>
        </is>
      </c>
      <c r="BC1067" t="inlineStr">
        <is>
          <t>32285005400576</t>
        </is>
      </c>
      <c r="BD1067" t="inlineStr">
        <is>
          <t>893424719</t>
        </is>
      </c>
    </row>
    <row r="1068">
      <c r="A1068" t="inlineStr">
        <is>
          <t>No</t>
        </is>
      </c>
      <c r="B1068" t="inlineStr">
        <is>
          <t>QD471 .L5 1993</t>
        </is>
      </c>
      <c r="C1068" t="inlineStr">
        <is>
          <t>0                      QD 0471000L  5           1993</t>
        </is>
      </c>
      <c r="D1068" t="inlineStr">
        <is>
          <t>An introduction to free radicals / John E. Leffler.</t>
        </is>
      </c>
      <c r="F1068" t="inlineStr">
        <is>
          <t>No</t>
        </is>
      </c>
      <c r="G1068" t="inlineStr">
        <is>
          <t>1</t>
        </is>
      </c>
      <c r="H1068" t="inlineStr">
        <is>
          <t>No</t>
        </is>
      </c>
      <c r="I1068" t="inlineStr">
        <is>
          <t>No</t>
        </is>
      </c>
      <c r="J1068" t="inlineStr">
        <is>
          <t>0</t>
        </is>
      </c>
      <c r="K1068" t="inlineStr">
        <is>
          <t>Leffler, John E.</t>
        </is>
      </c>
      <c r="L1068" t="inlineStr">
        <is>
          <t>New York : Wiley, c1993.</t>
        </is>
      </c>
      <c r="M1068" t="inlineStr">
        <is>
          <t>1993</t>
        </is>
      </c>
      <c r="O1068" t="inlineStr">
        <is>
          <t>eng</t>
        </is>
      </c>
      <c r="P1068" t="inlineStr">
        <is>
          <t>nyu</t>
        </is>
      </c>
      <c r="R1068" t="inlineStr">
        <is>
          <t xml:space="preserve">QD </t>
        </is>
      </c>
      <c r="S1068" t="n">
        <v>4</v>
      </c>
      <c r="T1068" t="n">
        <v>4</v>
      </c>
      <c r="U1068" t="inlineStr">
        <is>
          <t>2001-06-15</t>
        </is>
      </c>
      <c r="V1068" t="inlineStr">
        <is>
          <t>2001-06-15</t>
        </is>
      </c>
      <c r="W1068" t="inlineStr">
        <is>
          <t>1994-04-25</t>
        </is>
      </c>
      <c r="X1068" t="inlineStr">
        <is>
          <t>1994-04-25</t>
        </is>
      </c>
      <c r="Y1068" t="n">
        <v>458</v>
      </c>
      <c r="Z1068" t="n">
        <v>362</v>
      </c>
      <c r="AA1068" t="n">
        <v>369</v>
      </c>
      <c r="AB1068" t="n">
        <v>3</v>
      </c>
      <c r="AC1068" t="n">
        <v>3</v>
      </c>
      <c r="AD1068" t="n">
        <v>25</v>
      </c>
      <c r="AE1068" t="n">
        <v>25</v>
      </c>
      <c r="AF1068" t="n">
        <v>10</v>
      </c>
      <c r="AG1068" t="n">
        <v>10</v>
      </c>
      <c r="AH1068" t="n">
        <v>7</v>
      </c>
      <c r="AI1068" t="n">
        <v>7</v>
      </c>
      <c r="AJ1068" t="n">
        <v>10</v>
      </c>
      <c r="AK1068" t="n">
        <v>10</v>
      </c>
      <c r="AL1068" t="n">
        <v>2</v>
      </c>
      <c r="AM1068" t="n">
        <v>2</v>
      </c>
      <c r="AN1068" t="n">
        <v>0</v>
      </c>
      <c r="AO1068" t="n">
        <v>0</v>
      </c>
      <c r="AP1068" t="inlineStr">
        <is>
          <t>No</t>
        </is>
      </c>
      <c r="AQ1068" t="inlineStr">
        <is>
          <t>Yes</t>
        </is>
      </c>
      <c r="AR1068">
        <f>HYPERLINK("http://catalog.hathitrust.org/Record/004549736","HathiTrust Record")</f>
        <v/>
      </c>
      <c r="AS1068">
        <f>HYPERLINK("https://creighton-primo.hosted.exlibrisgroup.com/primo-explore/search?tab=default_tab&amp;search_scope=EVERYTHING&amp;vid=01CRU&amp;lang=en_US&amp;offset=0&amp;query=any,contains,991002093089702656","Catalog Record")</f>
        <v/>
      </c>
      <c r="AT1068">
        <f>HYPERLINK("http://www.worldcat.org/oclc/26853132","WorldCat Record")</f>
        <v/>
      </c>
      <c r="AU1068" t="inlineStr">
        <is>
          <t>29207177:eng</t>
        </is>
      </c>
      <c r="AV1068" t="inlineStr">
        <is>
          <t>26853132</t>
        </is>
      </c>
      <c r="AW1068" t="inlineStr">
        <is>
          <t>991002093089702656</t>
        </is>
      </c>
      <c r="AX1068" t="inlineStr">
        <is>
          <t>991002093089702656</t>
        </is>
      </c>
      <c r="AY1068" t="inlineStr">
        <is>
          <t>2264498210002656</t>
        </is>
      </c>
      <c r="AZ1068" t="inlineStr">
        <is>
          <t>BOOK</t>
        </is>
      </c>
      <c r="BB1068" t="inlineStr">
        <is>
          <t>9780471594062</t>
        </is>
      </c>
      <c r="BC1068" t="inlineStr">
        <is>
          <t>32285001877561</t>
        </is>
      </c>
      <c r="BD1068" t="inlineStr">
        <is>
          <t>893414810</t>
        </is>
      </c>
    </row>
    <row r="1069">
      <c r="A1069" t="inlineStr">
        <is>
          <t>No</t>
        </is>
      </c>
      <c r="B1069" t="inlineStr">
        <is>
          <t>QD471 .N84</t>
        </is>
      </c>
      <c r="C1069" t="inlineStr">
        <is>
          <t>0                      QD 0471000N  84</t>
        </is>
      </c>
      <c r="D1069" t="inlineStr">
        <is>
          <t>Radicals / D. C. Nonhebel, J. M. Tedder, J. C. Walton.</t>
        </is>
      </c>
      <c r="F1069" t="inlineStr">
        <is>
          <t>No</t>
        </is>
      </c>
      <c r="G1069" t="inlineStr">
        <is>
          <t>1</t>
        </is>
      </c>
      <c r="H1069" t="inlineStr">
        <is>
          <t>No</t>
        </is>
      </c>
      <c r="I1069" t="inlineStr">
        <is>
          <t>No</t>
        </is>
      </c>
      <c r="J1069" t="inlineStr">
        <is>
          <t>0</t>
        </is>
      </c>
      <c r="K1069" t="inlineStr">
        <is>
          <t>Nonhebel, D. C.</t>
        </is>
      </c>
      <c r="L1069" t="inlineStr">
        <is>
          <t>Cambridge ; New York : Cambridge University Press, 1979.</t>
        </is>
      </c>
      <c r="M1069" t="inlineStr">
        <is>
          <t>1978</t>
        </is>
      </c>
      <c r="O1069" t="inlineStr">
        <is>
          <t>eng</t>
        </is>
      </c>
      <c r="P1069" t="inlineStr">
        <is>
          <t>mau</t>
        </is>
      </c>
      <c r="Q1069" t="inlineStr">
        <is>
          <t>Cambridge texts in chemistry and biochemistry</t>
        </is>
      </c>
      <c r="R1069" t="inlineStr">
        <is>
          <t xml:space="preserve">QD </t>
        </is>
      </c>
      <c r="S1069" t="n">
        <v>2</v>
      </c>
      <c r="T1069" t="n">
        <v>2</v>
      </c>
      <c r="U1069" t="inlineStr">
        <is>
          <t>1995-04-20</t>
        </is>
      </c>
      <c r="V1069" t="inlineStr">
        <is>
          <t>1995-04-20</t>
        </is>
      </c>
      <c r="W1069" t="inlineStr">
        <is>
          <t>1990-08-15</t>
        </is>
      </c>
      <c r="X1069" t="inlineStr">
        <is>
          <t>1990-08-15</t>
        </is>
      </c>
      <c r="Y1069" t="n">
        <v>323</v>
      </c>
      <c r="Z1069" t="n">
        <v>206</v>
      </c>
      <c r="AA1069" t="n">
        <v>216</v>
      </c>
      <c r="AB1069" t="n">
        <v>3</v>
      </c>
      <c r="AC1069" t="n">
        <v>3</v>
      </c>
      <c r="AD1069" t="n">
        <v>7</v>
      </c>
      <c r="AE1069" t="n">
        <v>7</v>
      </c>
      <c r="AF1069" t="n">
        <v>1</v>
      </c>
      <c r="AG1069" t="n">
        <v>1</v>
      </c>
      <c r="AH1069" t="n">
        <v>3</v>
      </c>
      <c r="AI1069" t="n">
        <v>3</v>
      </c>
      <c r="AJ1069" t="n">
        <v>3</v>
      </c>
      <c r="AK1069" t="n">
        <v>3</v>
      </c>
      <c r="AL1069" t="n">
        <v>2</v>
      </c>
      <c r="AM1069" t="n">
        <v>2</v>
      </c>
      <c r="AN1069" t="n">
        <v>0</v>
      </c>
      <c r="AO1069" t="n">
        <v>0</v>
      </c>
      <c r="AP1069" t="inlineStr">
        <is>
          <t>No</t>
        </is>
      </c>
      <c r="AQ1069" t="inlineStr">
        <is>
          <t>No</t>
        </is>
      </c>
      <c r="AS1069">
        <f>HYPERLINK("https://creighton-primo.hosted.exlibrisgroup.com/primo-explore/search?tab=default_tab&amp;search_scope=EVERYTHING&amp;vid=01CRU&amp;lang=en_US&amp;offset=0&amp;query=any,contains,991004534609702656","Catalog Record")</f>
        <v/>
      </c>
      <c r="AT1069">
        <f>HYPERLINK("http://www.worldcat.org/oclc/3868872","WorldCat Record")</f>
        <v/>
      </c>
      <c r="AU1069" t="inlineStr">
        <is>
          <t>12837824:eng</t>
        </is>
      </c>
      <c r="AV1069" t="inlineStr">
        <is>
          <t>3868872</t>
        </is>
      </c>
      <c r="AW1069" t="inlineStr">
        <is>
          <t>991004534609702656</t>
        </is>
      </c>
      <c r="AX1069" t="inlineStr">
        <is>
          <t>991004534609702656</t>
        </is>
      </c>
      <c r="AY1069" t="inlineStr">
        <is>
          <t>2264977520002656</t>
        </is>
      </c>
      <c r="AZ1069" t="inlineStr">
        <is>
          <t>BOOK</t>
        </is>
      </c>
      <c r="BB1069" t="inlineStr">
        <is>
          <t>9780521220040</t>
        </is>
      </c>
      <c r="BC1069" t="inlineStr">
        <is>
          <t>32285000268978</t>
        </is>
      </c>
      <c r="BD1069" t="inlineStr">
        <is>
          <t>893430178</t>
        </is>
      </c>
    </row>
    <row r="1070">
      <c r="A1070" t="inlineStr">
        <is>
          <t>No</t>
        </is>
      </c>
      <c r="B1070" t="inlineStr">
        <is>
          <t>QD471 .O68</t>
        </is>
      </c>
      <c r="C1070" t="inlineStr">
        <is>
          <t>0                      QD 0471000O  68</t>
        </is>
      </c>
      <c r="D1070" t="inlineStr">
        <is>
          <t>Organic free radicals : a symposium / sponsored by the Division of Organic Chemistry at the 174th meeting of the American Chemical Society, Chicago, Illinois, August 29-September 2, 1977 ; William A. Pryor, editor.</t>
        </is>
      </c>
      <c r="F1070" t="inlineStr">
        <is>
          <t>No</t>
        </is>
      </c>
      <c r="G1070" t="inlineStr">
        <is>
          <t>1</t>
        </is>
      </c>
      <c r="H1070" t="inlineStr">
        <is>
          <t>No</t>
        </is>
      </c>
      <c r="I1070" t="inlineStr">
        <is>
          <t>No</t>
        </is>
      </c>
      <c r="J1070" t="inlineStr">
        <is>
          <t>0</t>
        </is>
      </c>
      <c r="L1070" t="inlineStr">
        <is>
          <t>Washington : ACS, 1978.</t>
        </is>
      </c>
      <c r="M1070" t="inlineStr">
        <is>
          <t>1978</t>
        </is>
      </c>
      <c r="O1070" t="inlineStr">
        <is>
          <t>eng</t>
        </is>
      </c>
      <c r="P1070" t="inlineStr">
        <is>
          <t>dcu</t>
        </is>
      </c>
      <c r="Q1070" t="inlineStr">
        <is>
          <t>ACS symposium series, [0097-6156] ; 69</t>
        </is>
      </c>
      <c r="R1070" t="inlineStr">
        <is>
          <t xml:space="preserve">QD </t>
        </is>
      </c>
      <c r="S1070" t="n">
        <v>1</v>
      </c>
      <c r="T1070" t="n">
        <v>1</v>
      </c>
      <c r="U1070" t="inlineStr">
        <is>
          <t>1995-04-20</t>
        </is>
      </c>
      <c r="V1070" t="inlineStr">
        <is>
          <t>1995-04-20</t>
        </is>
      </c>
      <c r="W1070" t="inlineStr">
        <is>
          <t>1993-02-03</t>
        </is>
      </c>
      <c r="X1070" t="inlineStr">
        <is>
          <t>1993-02-03</t>
        </is>
      </c>
      <c r="Y1070" t="n">
        <v>393</v>
      </c>
      <c r="Z1070" t="n">
        <v>315</v>
      </c>
      <c r="AA1070" t="n">
        <v>349</v>
      </c>
      <c r="AB1070" t="n">
        <v>3</v>
      </c>
      <c r="AC1070" t="n">
        <v>3</v>
      </c>
      <c r="AD1070" t="n">
        <v>9</v>
      </c>
      <c r="AE1070" t="n">
        <v>9</v>
      </c>
      <c r="AF1070" t="n">
        <v>2</v>
      </c>
      <c r="AG1070" t="n">
        <v>2</v>
      </c>
      <c r="AH1070" t="n">
        <v>2</v>
      </c>
      <c r="AI1070" t="n">
        <v>2</v>
      </c>
      <c r="AJ1070" t="n">
        <v>6</v>
      </c>
      <c r="AK1070" t="n">
        <v>6</v>
      </c>
      <c r="AL1070" t="n">
        <v>2</v>
      </c>
      <c r="AM1070" t="n">
        <v>2</v>
      </c>
      <c r="AN1070" t="n">
        <v>0</v>
      </c>
      <c r="AO1070" t="n">
        <v>0</v>
      </c>
      <c r="AP1070" t="inlineStr">
        <is>
          <t>No</t>
        </is>
      </c>
      <c r="AQ1070" t="inlineStr">
        <is>
          <t>Yes</t>
        </is>
      </c>
      <c r="AR1070">
        <f>HYPERLINK("http://catalog.hathitrust.org/Record/000092015","HathiTrust Record")</f>
        <v/>
      </c>
      <c r="AS1070">
        <f>HYPERLINK("https://creighton-primo.hosted.exlibrisgroup.com/primo-explore/search?tab=default_tab&amp;search_scope=EVERYTHING&amp;vid=01CRU&amp;lang=en_US&amp;offset=0&amp;query=any,contains,991004479899702656","Catalog Record")</f>
        <v/>
      </c>
      <c r="AT1070">
        <f>HYPERLINK("http://www.worldcat.org/oclc/3627030","WorldCat Record")</f>
        <v/>
      </c>
      <c r="AU1070" t="inlineStr">
        <is>
          <t>889714406:eng</t>
        </is>
      </c>
      <c r="AV1070" t="inlineStr">
        <is>
          <t>3627030</t>
        </is>
      </c>
      <c r="AW1070" t="inlineStr">
        <is>
          <t>991004479899702656</t>
        </is>
      </c>
      <c r="AX1070" t="inlineStr">
        <is>
          <t>991004479899702656</t>
        </is>
      </c>
      <c r="AY1070" t="inlineStr">
        <is>
          <t>2269035010002656</t>
        </is>
      </c>
      <c r="AZ1070" t="inlineStr">
        <is>
          <t>BOOK</t>
        </is>
      </c>
      <c r="BB1070" t="inlineStr">
        <is>
          <t>9780841204218</t>
        </is>
      </c>
      <c r="BC1070" t="inlineStr">
        <is>
          <t>32285001516763</t>
        </is>
      </c>
      <c r="BD1070" t="inlineStr">
        <is>
          <t>893325431</t>
        </is>
      </c>
    </row>
    <row r="1071">
      <c r="A1071" t="inlineStr">
        <is>
          <t>No</t>
        </is>
      </c>
      <c r="B1071" t="inlineStr">
        <is>
          <t>QD471 .P36 2000</t>
        </is>
      </c>
      <c r="C1071" t="inlineStr">
        <is>
          <t>0                      QD 0471000P  36          2000</t>
        </is>
      </c>
      <c r="D1071" t="inlineStr">
        <is>
          <t>An introduction to free radical chemistry / A.F. Parsons.</t>
        </is>
      </c>
      <c r="F1071" t="inlineStr">
        <is>
          <t>No</t>
        </is>
      </c>
      <c r="G1071" t="inlineStr">
        <is>
          <t>1</t>
        </is>
      </c>
      <c r="H1071" t="inlineStr">
        <is>
          <t>No</t>
        </is>
      </c>
      <c r="I1071" t="inlineStr">
        <is>
          <t>No</t>
        </is>
      </c>
      <c r="J1071" t="inlineStr">
        <is>
          <t>0</t>
        </is>
      </c>
      <c r="K1071" t="inlineStr">
        <is>
          <t>Parsons, A. F.</t>
        </is>
      </c>
      <c r="L1071" t="inlineStr">
        <is>
          <t>Oxford ; Malden, MA : Blackwell Science, 2000.</t>
        </is>
      </c>
      <c r="M1071" t="inlineStr">
        <is>
          <t>2000</t>
        </is>
      </c>
      <c r="O1071" t="inlineStr">
        <is>
          <t>eng</t>
        </is>
      </c>
      <c r="P1071" t="inlineStr">
        <is>
          <t>enk</t>
        </is>
      </c>
      <c r="R1071" t="inlineStr">
        <is>
          <t xml:space="preserve">QD </t>
        </is>
      </c>
      <c r="S1071" t="n">
        <v>2</v>
      </c>
      <c r="T1071" t="n">
        <v>2</v>
      </c>
      <c r="U1071" t="inlineStr">
        <is>
          <t>2002-04-22</t>
        </is>
      </c>
      <c r="V1071" t="inlineStr">
        <is>
          <t>2002-04-22</t>
        </is>
      </c>
      <c r="W1071" t="inlineStr">
        <is>
          <t>2002-04-11</t>
        </is>
      </c>
      <c r="X1071" t="inlineStr">
        <is>
          <t>2002-04-11</t>
        </is>
      </c>
      <c r="Y1071" t="n">
        <v>218</v>
      </c>
      <c r="Z1071" t="n">
        <v>133</v>
      </c>
      <c r="AA1071" t="n">
        <v>133</v>
      </c>
      <c r="AB1071" t="n">
        <v>2</v>
      </c>
      <c r="AC1071" t="n">
        <v>2</v>
      </c>
      <c r="AD1071" t="n">
        <v>5</v>
      </c>
      <c r="AE1071" t="n">
        <v>5</v>
      </c>
      <c r="AF1071" t="n">
        <v>2</v>
      </c>
      <c r="AG1071" t="n">
        <v>2</v>
      </c>
      <c r="AH1071" t="n">
        <v>1</v>
      </c>
      <c r="AI1071" t="n">
        <v>1</v>
      </c>
      <c r="AJ1071" t="n">
        <v>3</v>
      </c>
      <c r="AK1071" t="n">
        <v>3</v>
      </c>
      <c r="AL1071" t="n">
        <v>1</v>
      </c>
      <c r="AM1071" t="n">
        <v>1</v>
      </c>
      <c r="AN1071" t="n">
        <v>0</v>
      </c>
      <c r="AO1071" t="n">
        <v>0</v>
      </c>
      <c r="AP1071" t="inlineStr">
        <is>
          <t>No</t>
        </is>
      </c>
      <c r="AQ1071" t="inlineStr">
        <is>
          <t>No</t>
        </is>
      </c>
      <c r="AS1071">
        <f>HYPERLINK("https://creighton-primo.hosted.exlibrisgroup.com/primo-explore/search?tab=default_tab&amp;search_scope=EVERYTHING&amp;vid=01CRU&amp;lang=en_US&amp;offset=0&amp;query=any,contains,991003754469702656","Catalog Record")</f>
        <v/>
      </c>
      <c r="AT1071">
        <f>HYPERLINK("http://www.worldcat.org/oclc/43836437","WorldCat Record")</f>
        <v/>
      </c>
      <c r="AU1071" t="inlineStr">
        <is>
          <t>926576:eng</t>
        </is>
      </c>
      <c r="AV1071" t="inlineStr">
        <is>
          <t>43836437</t>
        </is>
      </c>
      <c r="AW1071" t="inlineStr">
        <is>
          <t>991003754469702656</t>
        </is>
      </c>
      <c r="AX1071" t="inlineStr">
        <is>
          <t>991003754469702656</t>
        </is>
      </c>
      <c r="AY1071" t="inlineStr">
        <is>
          <t>2269906170002656</t>
        </is>
      </c>
      <c r="AZ1071" t="inlineStr">
        <is>
          <t>BOOK</t>
        </is>
      </c>
      <c r="BB1071" t="inlineStr">
        <is>
          <t>9780632052929</t>
        </is>
      </c>
      <c r="BC1071" t="inlineStr">
        <is>
          <t>32285004479126</t>
        </is>
      </c>
      <c r="BD1071" t="inlineStr">
        <is>
          <t>893887851</t>
        </is>
      </c>
    </row>
    <row r="1072">
      <c r="A1072" t="inlineStr">
        <is>
          <t>No</t>
        </is>
      </c>
      <c r="B1072" t="inlineStr">
        <is>
          <t>QD471 .V613</t>
        </is>
      </c>
      <c r="C1072" t="inlineStr">
        <is>
          <t>0                      QD 0471000V  613</t>
        </is>
      </c>
      <c r="D1072" t="inlineStr">
        <is>
          <t>Configurational statistics of polymeric chains. Translated from the Russian ed. by Serge N. Timasheff and M. J. Timasheff.</t>
        </is>
      </c>
      <c r="F1072" t="inlineStr">
        <is>
          <t>No</t>
        </is>
      </c>
      <c r="G1072" t="inlineStr">
        <is>
          <t>1</t>
        </is>
      </c>
      <c r="H1072" t="inlineStr">
        <is>
          <t>No</t>
        </is>
      </c>
      <c r="I1072" t="inlineStr">
        <is>
          <t>No</t>
        </is>
      </c>
      <c r="J1072" t="inlineStr">
        <is>
          <t>0</t>
        </is>
      </c>
      <c r="K1072" t="inlineStr">
        <is>
          <t>Volʹkenshteĭn, M. V. (Mikhail Vladimirovich), 1912-1992.</t>
        </is>
      </c>
      <c r="L1072" t="inlineStr">
        <is>
          <t>New York, Interscience Publishers [1963]</t>
        </is>
      </c>
      <c r="M1072" t="inlineStr">
        <is>
          <t>1963</t>
        </is>
      </c>
      <c r="O1072" t="inlineStr">
        <is>
          <t>eng</t>
        </is>
      </c>
      <c r="P1072" t="inlineStr">
        <is>
          <t>nyu</t>
        </is>
      </c>
      <c r="Q1072" t="inlineStr">
        <is>
          <t>High polymers; a series of monographs on the chemistry, physics and technology of high polymeric substances, v. 17</t>
        </is>
      </c>
      <c r="R1072" t="inlineStr">
        <is>
          <t xml:space="preserve">QD </t>
        </is>
      </c>
      <c r="S1072" t="n">
        <v>1</v>
      </c>
      <c r="T1072" t="n">
        <v>1</v>
      </c>
      <c r="U1072" t="inlineStr">
        <is>
          <t>2003-11-07</t>
        </is>
      </c>
      <c r="V1072" t="inlineStr">
        <is>
          <t>2003-11-07</t>
        </is>
      </c>
      <c r="W1072" t="inlineStr">
        <is>
          <t>1997-06-13</t>
        </is>
      </c>
      <c r="X1072" t="inlineStr">
        <is>
          <t>1997-06-13</t>
        </is>
      </c>
      <c r="Y1072" t="n">
        <v>307</v>
      </c>
      <c r="Z1072" t="n">
        <v>222</v>
      </c>
      <c r="AA1072" t="n">
        <v>224</v>
      </c>
      <c r="AB1072" t="n">
        <v>2</v>
      </c>
      <c r="AC1072" t="n">
        <v>2</v>
      </c>
      <c r="AD1072" t="n">
        <v>6</v>
      </c>
      <c r="AE1072" t="n">
        <v>6</v>
      </c>
      <c r="AF1072" t="n">
        <v>1</v>
      </c>
      <c r="AG1072" t="n">
        <v>1</v>
      </c>
      <c r="AH1072" t="n">
        <v>3</v>
      </c>
      <c r="AI1072" t="n">
        <v>3</v>
      </c>
      <c r="AJ1072" t="n">
        <v>3</v>
      </c>
      <c r="AK1072" t="n">
        <v>3</v>
      </c>
      <c r="AL1072" t="n">
        <v>1</v>
      </c>
      <c r="AM1072" t="n">
        <v>1</v>
      </c>
      <c r="AN1072" t="n">
        <v>0</v>
      </c>
      <c r="AO1072" t="n">
        <v>0</v>
      </c>
      <c r="AP1072" t="inlineStr">
        <is>
          <t>No</t>
        </is>
      </c>
      <c r="AQ1072" t="inlineStr">
        <is>
          <t>No</t>
        </is>
      </c>
      <c r="AR1072">
        <f>HYPERLINK("http://catalog.hathitrust.org/Record/001114087","HathiTrust Record")</f>
        <v/>
      </c>
      <c r="AS1072">
        <f>HYPERLINK("https://creighton-primo.hosted.exlibrisgroup.com/primo-explore/search?tab=default_tab&amp;search_scope=EVERYTHING&amp;vid=01CRU&amp;lang=en_US&amp;offset=0&amp;query=any,contains,991004097089702656","Catalog Record")</f>
        <v/>
      </c>
      <c r="AT1072">
        <f>HYPERLINK("http://www.worldcat.org/oclc/2361332","WorldCat Record")</f>
        <v/>
      </c>
      <c r="AU1072" t="inlineStr">
        <is>
          <t>4592483:eng</t>
        </is>
      </c>
      <c r="AV1072" t="inlineStr">
        <is>
          <t>2361332</t>
        </is>
      </c>
      <c r="AW1072" t="inlineStr">
        <is>
          <t>991004097089702656</t>
        </is>
      </c>
      <c r="AX1072" t="inlineStr">
        <is>
          <t>991004097089702656</t>
        </is>
      </c>
      <c r="AY1072" t="inlineStr">
        <is>
          <t>2272069860002656</t>
        </is>
      </c>
      <c r="AZ1072" t="inlineStr">
        <is>
          <t>BOOK</t>
        </is>
      </c>
      <c r="BC1072" t="inlineStr">
        <is>
          <t>32285002806874</t>
        </is>
      </c>
      <c r="BD1072" t="inlineStr">
        <is>
          <t>893506406</t>
        </is>
      </c>
    </row>
    <row r="1073">
      <c r="A1073" t="inlineStr">
        <is>
          <t>No</t>
        </is>
      </c>
      <c r="B1073" t="inlineStr">
        <is>
          <t>QD473 .C48 1988</t>
        </is>
      </c>
      <c r="C1073" t="inlineStr">
        <is>
          <t>0                      QD 0473000C  48          1988</t>
        </is>
      </c>
      <c r="D1073" t="inlineStr">
        <is>
          <t>Chemistry of high-temperature superconductors II / David L. Nelson, Thomas F. George, editors.</t>
        </is>
      </c>
      <c r="F1073" t="inlineStr">
        <is>
          <t>No</t>
        </is>
      </c>
      <c r="G1073" t="inlineStr">
        <is>
          <t>1</t>
        </is>
      </c>
      <c r="H1073" t="inlineStr">
        <is>
          <t>No</t>
        </is>
      </c>
      <c r="I1073" t="inlineStr">
        <is>
          <t>No</t>
        </is>
      </c>
      <c r="J1073" t="inlineStr">
        <is>
          <t>0</t>
        </is>
      </c>
      <c r="L1073" t="inlineStr">
        <is>
          <t>Washington, DC : American Chemical Society, c1988.</t>
        </is>
      </c>
      <c r="M1073" t="inlineStr">
        <is>
          <t>1988</t>
        </is>
      </c>
      <c r="O1073" t="inlineStr">
        <is>
          <t>eng</t>
        </is>
      </c>
      <c r="P1073" t="inlineStr">
        <is>
          <t>dcu</t>
        </is>
      </c>
      <c r="Q1073" t="inlineStr">
        <is>
          <t>ACS symposium series ; 377</t>
        </is>
      </c>
      <c r="R1073" t="inlineStr">
        <is>
          <t xml:space="preserve">QD </t>
        </is>
      </c>
      <c r="S1073" t="n">
        <v>2</v>
      </c>
      <c r="T1073" t="n">
        <v>2</v>
      </c>
      <c r="U1073" t="inlineStr">
        <is>
          <t>1993-12-04</t>
        </is>
      </c>
      <c r="V1073" t="inlineStr">
        <is>
          <t>1993-12-04</t>
        </is>
      </c>
      <c r="W1073" t="inlineStr">
        <is>
          <t>1993-02-03</t>
        </is>
      </c>
      <c r="X1073" t="inlineStr">
        <is>
          <t>1993-02-03</t>
        </is>
      </c>
      <c r="Y1073" t="n">
        <v>176</v>
      </c>
      <c r="Z1073" t="n">
        <v>138</v>
      </c>
      <c r="AA1073" t="n">
        <v>143</v>
      </c>
      <c r="AB1073" t="n">
        <v>2</v>
      </c>
      <c r="AC1073" t="n">
        <v>2</v>
      </c>
      <c r="AD1073" t="n">
        <v>3</v>
      </c>
      <c r="AE1073" t="n">
        <v>3</v>
      </c>
      <c r="AF1073" t="n">
        <v>0</v>
      </c>
      <c r="AG1073" t="n">
        <v>0</v>
      </c>
      <c r="AH1073" t="n">
        <v>2</v>
      </c>
      <c r="AI1073" t="n">
        <v>2</v>
      </c>
      <c r="AJ1073" t="n">
        <v>1</v>
      </c>
      <c r="AK1073" t="n">
        <v>1</v>
      </c>
      <c r="AL1073" t="n">
        <v>1</v>
      </c>
      <c r="AM1073" t="n">
        <v>1</v>
      </c>
      <c r="AN1073" t="n">
        <v>0</v>
      </c>
      <c r="AO1073" t="n">
        <v>0</v>
      </c>
      <c r="AP1073" t="inlineStr">
        <is>
          <t>No</t>
        </is>
      </c>
      <c r="AQ1073" t="inlineStr">
        <is>
          <t>Yes</t>
        </is>
      </c>
      <c r="AR1073">
        <f>HYPERLINK("http://catalog.hathitrust.org/Record/000951628","HathiTrust Record")</f>
        <v/>
      </c>
      <c r="AS1073">
        <f>HYPERLINK("https://creighton-primo.hosted.exlibrisgroup.com/primo-explore/search?tab=default_tab&amp;search_scope=EVERYTHING&amp;vid=01CRU&amp;lang=en_US&amp;offset=0&amp;query=any,contains,991001390819702656","Catalog Record")</f>
        <v/>
      </c>
      <c r="AT1073">
        <f>HYPERLINK("http://www.worldcat.org/oclc/18758133","WorldCat Record")</f>
        <v/>
      </c>
      <c r="AU1073" t="inlineStr">
        <is>
          <t>4714379981:eng</t>
        </is>
      </c>
      <c r="AV1073" t="inlineStr">
        <is>
          <t>18758133</t>
        </is>
      </c>
      <c r="AW1073" t="inlineStr">
        <is>
          <t>991001390819702656</t>
        </is>
      </c>
      <c r="AX1073" t="inlineStr">
        <is>
          <t>991001390819702656</t>
        </is>
      </c>
      <c r="AY1073" t="inlineStr">
        <is>
          <t>2269040600002656</t>
        </is>
      </c>
      <c r="AZ1073" t="inlineStr">
        <is>
          <t>BOOK</t>
        </is>
      </c>
      <c r="BB1073" t="inlineStr">
        <is>
          <t>9780841215412</t>
        </is>
      </c>
      <c r="BC1073" t="inlineStr">
        <is>
          <t>32285001516771</t>
        </is>
      </c>
      <c r="BD1073" t="inlineStr">
        <is>
          <t>893315750</t>
        </is>
      </c>
    </row>
    <row r="1074">
      <c r="A1074" t="inlineStr">
        <is>
          <t>No</t>
        </is>
      </c>
      <c r="B1074" t="inlineStr">
        <is>
          <t>QD474 .C655 1990</t>
        </is>
      </c>
      <c r="C1074" t="inlineStr">
        <is>
          <t>0                      QD 0474000C  655         1990</t>
        </is>
      </c>
      <c r="D1074" t="inlineStr">
        <is>
          <t>Metals and ligand reactivity / E.C. Constable.</t>
        </is>
      </c>
      <c r="F1074" t="inlineStr">
        <is>
          <t>No</t>
        </is>
      </c>
      <c r="G1074" t="inlineStr">
        <is>
          <t>1</t>
        </is>
      </c>
      <c r="H1074" t="inlineStr">
        <is>
          <t>No</t>
        </is>
      </c>
      <c r="I1074" t="inlineStr">
        <is>
          <t>No</t>
        </is>
      </c>
      <c r="J1074" t="inlineStr">
        <is>
          <t>0</t>
        </is>
      </c>
      <c r="K1074" t="inlineStr">
        <is>
          <t>Constable, Edwin C.</t>
        </is>
      </c>
      <c r="L1074" t="inlineStr">
        <is>
          <t>New York : E. Horwood, 1990.</t>
        </is>
      </c>
      <c r="M1074" t="inlineStr">
        <is>
          <t>1990</t>
        </is>
      </c>
      <c r="O1074" t="inlineStr">
        <is>
          <t>eng</t>
        </is>
      </c>
      <c r="P1074" t="inlineStr">
        <is>
          <t>nyu</t>
        </is>
      </c>
      <c r="Q1074" t="inlineStr">
        <is>
          <t>Ellis Horwood series in inorganic chemistry</t>
        </is>
      </c>
      <c r="R1074" t="inlineStr">
        <is>
          <t xml:space="preserve">QD </t>
        </is>
      </c>
      <c r="S1074" t="n">
        <v>3</v>
      </c>
      <c r="T1074" t="n">
        <v>3</v>
      </c>
      <c r="U1074" t="inlineStr">
        <is>
          <t>1993-10-27</t>
        </is>
      </c>
      <c r="V1074" t="inlineStr">
        <is>
          <t>1993-10-27</t>
        </is>
      </c>
      <c r="W1074" t="inlineStr">
        <is>
          <t>1991-05-13</t>
        </is>
      </c>
      <c r="X1074" t="inlineStr">
        <is>
          <t>1991-05-13</t>
        </is>
      </c>
      <c r="Y1074" t="n">
        <v>184</v>
      </c>
      <c r="Z1074" t="n">
        <v>109</v>
      </c>
      <c r="AA1074" t="n">
        <v>109</v>
      </c>
      <c r="AB1074" t="n">
        <v>1</v>
      </c>
      <c r="AC1074" t="n">
        <v>1</v>
      </c>
      <c r="AD1074" t="n">
        <v>6</v>
      </c>
      <c r="AE1074" t="n">
        <v>6</v>
      </c>
      <c r="AF1074" t="n">
        <v>1</v>
      </c>
      <c r="AG1074" t="n">
        <v>1</v>
      </c>
      <c r="AH1074" t="n">
        <v>3</v>
      </c>
      <c r="AI1074" t="n">
        <v>3</v>
      </c>
      <c r="AJ1074" t="n">
        <v>3</v>
      </c>
      <c r="AK1074" t="n">
        <v>3</v>
      </c>
      <c r="AL1074" t="n">
        <v>0</v>
      </c>
      <c r="AM1074" t="n">
        <v>0</v>
      </c>
      <c r="AN1074" t="n">
        <v>0</v>
      </c>
      <c r="AO1074" t="n">
        <v>0</v>
      </c>
      <c r="AP1074" t="inlineStr">
        <is>
          <t>No</t>
        </is>
      </c>
      <c r="AQ1074" t="inlineStr">
        <is>
          <t>No</t>
        </is>
      </c>
      <c r="AS1074">
        <f>HYPERLINK("https://creighton-primo.hosted.exlibrisgroup.com/primo-explore/search?tab=default_tab&amp;search_scope=EVERYTHING&amp;vid=01CRU&amp;lang=en_US&amp;offset=0&amp;query=any,contains,991001746709702656","Catalog Record")</f>
        <v/>
      </c>
      <c r="AT1074">
        <f>HYPERLINK("http://www.worldcat.org/oclc/22114557","WorldCat Record")</f>
        <v/>
      </c>
      <c r="AU1074" t="inlineStr">
        <is>
          <t>4916043270:eng</t>
        </is>
      </c>
      <c r="AV1074" t="inlineStr">
        <is>
          <t>22114557</t>
        </is>
      </c>
      <c r="AW1074" t="inlineStr">
        <is>
          <t>991001746709702656</t>
        </is>
      </c>
      <c r="AX1074" t="inlineStr">
        <is>
          <t>991001746709702656</t>
        </is>
      </c>
      <c r="AY1074" t="inlineStr">
        <is>
          <t>2266457120002656</t>
        </is>
      </c>
      <c r="AZ1074" t="inlineStr">
        <is>
          <t>BOOK</t>
        </is>
      </c>
      <c r="BB1074" t="inlineStr">
        <is>
          <t>9780135772225</t>
        </is>
      </c>
      <c r="BC1074" t="inlineStr">
        <is>
          <t>32285000572205</t>
        </is>
      </c>
      <c r="BD1074" t="inlineStr">
        <is>
          <t>893697000</t>
        </is>
      </c>
    </row>
    <row r="1075">
      <c r="A1075" t="inlineStr">
        <is>
          <t>No</t>
        </is>
      </c>
      <c r="B1075" t="inlineStr">
        <is>
          <t>QD474 .C66</t>
        </is>
      </c>
      <c r="C1075" t="inlineStr">
        <is>
          <t>0                      QD 0474000C  66</t>
        </is>
      </c>
      <c r="D1075" t="inlineStr">
        <is>
          <t>Coordination chemistry. Edited by Arthur E. Martell.</t>
        </is>
      </c>
      <c r="E1075" t="inlineStr">
        <is>
          <t>V.2</t>
        </is>
      </c>
      <c r="F1075" t="inlineStr">
        <is>
          <t>Yes</t>
        </is>
      </c>
      <c r="G1075" t="inlineStr">
        <is>
          <t>1</t>
        </is>
      </c>
      <c r="H1075" t="inlineStr">
        <is>
          <t>No</t>
        </is>
      </c>
      <c r="I1075" t="inlineStr">
        <is>
          <t>No</t>
        </is>
      </c>
      <c r="J1075" t="inlineStr">
        <is>
          <t>0</t>
        </is>
      </c>
      <c r="L1075" t="inlineStr">
        <is>
          <t>New York, Van Nostrand Reinhold [1971]-78.</t>
        </is>
      </c>
      <c r="M1075" t="inlineStr">
        <is>
          <t>1971</t>
        </is>
      </c>
      <c r="O1075" t="inlineStr">
        <is>
          <t>eng</t>
        </is>
      </c>
      <c r="P1075" t="inlineStr">
        <is>
          <t>nyu</t>
        </is>
      </c>
      <c r="Q1075" t="inlineStr">
        <is>
          <t>ACS monograph 168, 174 0065-7719</t>
        </is>
      </c>
      <c r="R1075" t="inlineStr">
        <is>
          <t xml:space="preserve">QD </t>
        </is>
      </c>
      <c r="S1075" t="n">
        <v>0</v>
      </c>
      <c r="T1075" t="n">
        <v>1</v>
      </c>
      <c r="V1075" t="inlineStr">
        <is>
          <t>1993-03-25</t>
        </is>
      </c>
      <c r="W1075" t="inlineStr">
        <is>
          <t>1993-02-03</t>
        </is>
      </c>
      <c r="X1075" t="inlineStr">
        <is>
          <t>1993-02-03</t>
        </is>
      </c>
      <c r="Y1075" t="n">
        <v>541</v>
      </c>
      <c r="Z1075" t="n">
        <v>447</v>
      </c>
      <c r="AA1075" t="n">
        <v>449</v>
      </c>
      <c r="AB1075" t="n">
        <v>4</v>
      </c>
      <c r="AC1075" t="n">
        <v>4</v>
      </c>
      <c r="AD1075" t="n">
        <v>21</v>
      </c>
      <c r="AE1075" t="n">
        <v>21</v>
      </c>
      <c r="AF1075" t="n">
        <v>5</v>
      </c>
      <c r="AG1075" t="n">
        <v>5</v>
      </c>
      <c r="AH1075" t="n">
        <v>5</v>
      </c>
      <c r="AI1075" t="n">
        <v>5</v>
      </c>
      <c r="AJ1075" t="n">
        <v>11</v>
      </c>
      <c r="AK1075" t="n">
        <v>11</v>
      </c>
      <c r="AL1075" t="n">
        <v>3</v>
      </c>
      <c r="AM1075" t="n">
        <v>3</v>
      </c>
      <c r="AN1075" t="n">
        <v>0</v>
      </c>
      <c r="AO1075" t="n">
        <v>0</v>
      </c>
      <c r="AP1075" t="inlineStr">
        <is>
          <t>No</t>
        </is>
      </c>
      <c r="AQ1075" t="inlineStr">
        <is>
          <t>Yes</t>
        </is>
      </c>
      <c r="AR1075">
        <f>HYPERLINK("http://catalog.hathitrust.org/Record/000276270","HathiTrust Record")</f>
        <v/>
      </c>
      <c r="AS1075">
        <f>HYPERLINK("https://creighton-primo.hosted.exlibrisgroup.com/primo-explore/search?tab=default_tab&amp;search_scope=EVERYTHING&amp;vid=01CRU&amp;lang=en_US&amp;offset=0&amp;query=any,contains,991002996459702656","Catalog Record")</f>
        <v/>
      </c>
      <c r="AT1075">
        <f>HYPERLINK("http://www.worldcat.org/oclc/299457","WorldCat Record")</f>
        <v/>
      </c>
      <c r="AU1075" t="inlineStr">
        <is>
          <t>10678267276:eng</t>
        </is>
      </c>
      <c r="AV1075" t="inlineStr">
        <is>
          <t>299457</t>
        </is>
      </c>
      <c r="AW1075" t="inlineStr">
        <is>
          <t>991002996459702656</t>
        </is>
      </c>
      <c r="AX1075" t="inlineStr">
        <is>
          <t>991002996459702656</t>
        </is>
      </c>
      <c r="AY1075" t="inlineStr">
        <is>
          <t>2256843410002656</t>
        </is>
      </c>
      <c r="AZ1075" t="inlineStr">
        <is>
          <t>BOOK</t>
        </is>
      </c>
      <c r="BB1075" t="inlineStr">
        <is>
          <t>9780841202924</t>
        </is>
      </c>
      <c r="BC1075" t="inlineStr">
        <is>
          <t>32285001516797</t>
        </is>
      </c>
      <c r="BD1075" t="inlineStr">
        <is>
          <t>893434538</t>
        </is>
      </c>
    </row>
    <row r="1076">
      <c r="A1076" t="inlineStr">
        <is>
          <t>No</t>
        </is>
      </c>
      <c r="B1076" t="inlineStr">
        <is>
          <t>QD474 .C66</t>
        </is>
      </c>
      <c r="C1076" t="inlineStr">
        <is>
          <t>0                      QD 0474000C  66</t>
        </is>
      </c>
      <c r="D1076" t="inlineStr">
        <is>
          <t>Coordination chemistry. Edited by Arthur E. Martell.</t>
        </is>
      </c>
      <c r="E1076" t="inlineStr">
        <is>
          <t>V.1</t>
        </is>
      </c>
      <c r="F1076" t="inlineStr">
        <is>
          <t>Yes</t>
        </is>
      </c>
      <c r="G1076" t="inlineStr">
        <is>
          <t>1</t>
        </is>
      </c>
      <c r="H1076" t="inlineStr">
        <is>
          <t>No</t>
        </is>
      </c>
      <c r="I1076" t="inlineStr">
        <is>
          <t>No</t>
        </is>
      </c>
      <c r="J1076" t="inlineStr">
        <is>
          <t>0</t>
        </is>
      </c>
      <c r="L1076" t="inlineStr">
        <is>
          <t>New York, Van Nostrand Reinhold [1971]-78.</t>
        </is>
      </c>
      <c r="M1076" t="inlineStr">
        <is>
          <t>1971</t>
        </is>
      </c>
      <c r="O1076" t="inlineStr">
        <is>
          <t>eng</t>
        </is>
      </c>
      <c r="P1076" t="inlineStr">
        <is>
          <t>nyu</t>
        </is>
      </c>
      <c r="Q1076" t="inlineStr">
        <is>
          <t>ACS monograph 168, 174 0065-7719</t>
        </is>
      </c>
      <c r="R1076" t="inlineStr">
        <is>
          <t xml:space="preserve">QD </t>
        </is>
      </c>
      <c r="S1076" t="n">
        <v>1</v>
      </c>
      <c r="T1076" t="n">
        <v>1</v>
      </c>
      <c r="U1076" t="inlineStr">
        <is>
          <t>1993-03-25</t>
        </is>
      </c>
      <c r="V1076" t="inlineStr">
        <is>
          <t>1993-03-25</t>
        </is>
      </c>
      <c r="W1076" t="inlineStr">
        <is>
          <t>1993-02-03</t>
        </is>
      </c>
      <c r="X1076" t="inlineStr">
        <is>
          <t>1993-02-03</t>
        </is>
      </c>
      <c r="Y1076" t="n">
        <v>541</v>
      </c>
      <c r="Z1076" t="n">
        <v>447</v>
      </c>
      <c r="AA1076" t="n">
        <v>449</v>
      </c>
      <c r="AB1076" t="n">
        <v>4</v>
      </c>
      <c r="AC1076" t="n">
        <v>4</v>
      </c>
      <c r="AD1076" t="n">
        <v>21</v>
      </c>
      <c r="AE1076" t="n">
        <v>21</v>
      </c>
      <c r="AF1076" t="n">
        <v>5</v>
      </c>
      <c r="AG1076" t="n">
        <v>5</v>
      </c>
      <c r="AH1076" t="n">
        <v>5</v>
      </c>
      <c r="AI1076" t="n">
        <v>5</v>
      </c>
      <c r="AJ1076" t="n">
        <v>11</v>
      </c>
      <c r="AK1076" t="n">
        <v>11</v>
      </c>
      <c r="AL1076" t="n">
        <v>3</v>
      </c>
      <c r="AM1076" t="n">
        <v>3</v>
      </c>
      <c r="AN1076" t="n">
        <v>0</v>
      </c>
      <c r="AO1076" t="n">
        <v>0</v>
      </c>
      <c r="AP1076" t="inlineStr">
        <is>
          <t>No</t>
        </is>
      </c>
      <c r="AQ1076" t="inlineStr">
        <is>
          <t>Yes</t>
        </is>
      </c>
      <c r="AR1076">
        <f>HYPERLINK("http://catalog.hathitrust.org/Record/000276270","HathiTrust Record")</f>
        <v/>
      </c>
      <c r="AS1076">
        <f>HYPERLINK("https://creighton-primo.hosted.exlibrisgroup.com/primo-explore/search?tab=default_tab&amp;search_scope=EVERYTHING&amp;vid=01CRU&amp;lang=en_US&amp;offset=0&amp;query=any,contains,991002996459702656","Catalog Record")</f>
        <v/>
      </c>
      <c r="AT1076">
        <f>HYPERLINK("http://www.worldcat.org/oclc/299457","WorldCat Record")</f>
        <v/>
      </c>
      <c r="AU1076" t="inlineStr">
        <is>
          <t>10678267276:eng</t>
        </is>
      </c>
      <c r="AV1076" t="inlineStr">
        <is>
          <t>299457</t>
        </is>
      </c>
      <c r="AW1076" t="inlineStr">
        <is>
          <t>991002996459702656</t>
        </is>
      </c>
      <c r="AX1076" t="inlineStr">
        <is>
          <t>991002996459702656</t>
        </is>
      </c>
      <c r="AY1076" t="inlineStr">
        <is>
          <t>2256843410002656</t>
        </is>
      </c>
      <c r="AZ1076" t="inlineStr">
        <is>
          <t>BOOK</t>
        </is>
      </c>
      <c r="BB1076" t="inlineStr">
        <is>
          <t>9780841202924</t>
        </is>
      </c>
      <c r="BC1076" t="inlineStr">
        <is>
          <t>32285001516789</t>
        </is>
      </c>
      <c r="BD1076" t="inlineStr">
        <is>
          <t>893428320</t>
        </is>
      </c>
    </row>
    <row r="1077">
      <c r="A1077" t="inlineStr">
        <is>
          <t>No</t>
        </is>
      </c>
      <c r="B1077" t="inlineStr">
        <is>
          <t>QD475 .F54 2000</t>
        </is>
      </c>
      <c r="C1077" t="inlineStr">
        <is>
          <t>0                      QD 0475000F  54          2000</t>
        </is>
      </c>
      <c r="D1077" t="inlineStr">
        <is>
          <t>Ligand field theory and its applications / Brian N. Figgis, Michael A. Hitchman.</t>
        </is>
      </c>
      <c r="F1077" t="inlineStr">
        <is>
          <t>No</t>
        </is>
      </c>
      <c r="G1077" t="inlineStr">
        <is>
          <t>1</t>
        </is>
      </c>
      <c r="H1077" t="inlineStr">
        <is>
          <t>No</t>
        </is>
      </c>
      <c r="I1077" t="inlineStr">
        <is>
          <t>No</t>
        </is>
      </c>
      <c r="J1077" t="inlineStr">
        <is>
          <t>0</t>
        </is>
      </c>
      <c r="K1077" t="inlineStr">
        <is>
          <t>Figgis, B. N.</t>
        </is>
      </c>
      <c r="L1077" t="inlineStr">
        <is>
          <t>New York : Wiley-VCH, c2000.</t>
        </is>
      </c>
      <c r="M1077" t="inlineStr">
        <is>
          <t>2000</t>
        </is>
      </c>
      <c r="O1077" t="inlineStr">
        <is>
          <t>eng</t>
        </is>
      </c>
      <c r="P1077" t="inlineStr">
        <is>
          <t>nyu</t>
        </is>
      </c>
      <c r="Q1077" t="inlineStr">
        <is>
          <t>Special topics in inorganic chemistry</t>
        </is>
      </c>
      <c r="R1077" t="inlineStr">
        <is>
          <t xml:space="preserve">QD </t>
        </is>
      </c>
      <c r="S1077" t="n">
        <v>1</v>
      </c>
      <c r="T1077" t="n">
        <v>1</v>
      </c>
      <c r="U1077" t="inlineStr">
        <is>
          <t>2002-04-03</t>
        </is>
      </c>
      <c r="V1077" t="inlineStr">
        <is>
          <t>2002-04-03</t>
        </is>
      </c>
      <c r="W1077" t="inlineStr">
        <is>
          <t>2002-03-07</t>
        </is>
      </c>
      <c r="X1077" t="inlineStr">
        <is>
          <t>2002-03-07</t>
        </is>
      </c>
      <c r="Y1077" t="n">
        <v>529</v>
      </c>
      <c r="Z1077" t="n">
        <v>411</v>
      </c>
      <c r="AA1077" t="n">
        <v>411</v>
      </c>
      <c r="AB1077" t="n">
        <v>5</v>
      </c>
      <c r="AC1077" t="n">
        <v>5</v>
      </c>
      <c r="AD1077" t="n">
        <v>25</v>
      </c>
      <c r="AE1077" t="n">
        <v>25</v>
      </c>
      <c r="AF1077" t="n">
        <v>9</v>
      </c>
      <c r="AG1077" t="n">
        <v>9</v>
      </c>
      <c r="AH1077" t="n">
        <v>4</v>
      </c>
      <c r="AI1077" t="n">
        <v>4</v>
      </c>
      <c r="AJ1077" t="n">
        <v>13</v>
      </c>
      <c r="AK1077" t="n">
        <v>13</v>
      </c>
      <c r="AL1077" t="n">
        <v>4</v>
      </c>
      <c r="AM1077" t="n">
        <v>4</v>
      </c>
      <c r="AN1077" t="n">
        <v>0</v>
      </c>
      <c r="AO1077" t="n">
        <v>0</v>
      </c>
      <c r="AP1077" t="inlineStr">
        <is>
          <t>No</t>
        </is>
      </c>
      <c r="AQ1077" t="inlineStr">
        <is>
          <t>No</t>
        </is>
      </c>
      <c r="AS1077">
        <f>HYPERLINK("https://creighton-primo.hosted.exlibrisgroup.com/primo-explore/search?tab=default_tab&amp;search_scope=EVERYTHING&amp;vid=01CRU&amp;lang=en_US&amp;offset=0&amp;query=any,contains,991003728279702656","Catalog Record")</f>
        <v/>
      </c>
      <c r="AT1077">
        <f>HYPERLINK("http://www.worldcat.org/oclc/41173803","WorldCat Record")</f>
        <v/>
      </c>
      <c r="AU1077" t="inlineStr">
        <is>
          <t>26904049:eng</t>
        </is>
      </c>
      <c r="AV1077" t="inlineStr">
        <is>
          <t>41173803</t>
        </is>
      </c>
      <c r="AW1077" t="inlineStr">
        <is>
          <t>991003728279702656</t>
        </is>
      </c>
      <c r="AX1077" t="inlineStr">
        <is>
          <t>991003728279702656</t>
        </is>
      </c>
      <c r="AY1077" t="inlineStr">
        <is>
          <t>2267881160002656</t>
        </is>
      </c>
      <c r="AZ1077" t="inlineStr">
        <is>
          <t>BOOK</t>
        </is>
      </c>
      <c r="BB1077" t="inlineStr">
        <is>
          <t>9780471317760</t>
        </is>
      </c>
      <c r="BC1077" t="inlineStr">
        <is>
          <t>32285004460431</t>
        </is>
      </c>
      <c r="BD1077" t="inlineStr">
        <is>
          <t>893240530</t>
        </is>
      </c>
    </row>
    <row r="1078">
      <c r="A1078" t="inlineStr">
        <is>
          <t>No</t>
        </is>
      </c>
      <c r="B1078" t="inlineStr">
        <is>
          <t>QD475 .L5 2008</t>
        </is>
      </c>
      <c r="C1078" t="inlineStr">
        <is>
          <t>0                      QD 0475000L  5           2008</t>
        </is>
      </c>
      <c r="D1078" t="inlineStr">
        <is>
          <t>Advanced structural inorganic chemistry / Wai-Kee Li, Gong-Du Zhou, Thomas Chung Wai Mak.</t>
        </is>
      </c>
      <c r="F1078" t="inlineStr">
        <is>
          <t>No</t>
        </is>
      </c>
      <c r="G1078" t="inlineStr">
        <is>
          <t>1</t>
        </is>
      </c>
      <c r="H1078" t="inlineStr">
        <is>
          <t>No</t>
        </is>
      </c>
      <c r="I1078" t="inlineStr">
        <is>
          <t>No</t>
        </is>
      </c>
      <c r="J1078" t="inlineStr">
        <is>
          <t>0</t>
        </is>
      </c>
      <c r="K1078" t="inlineStr">
        <is>
          <t>Li, Wai-Kee.</t>
        </is>
      </c>
      <c r="L1078" t="inlineStr">
        <is>
          <t>Oxford ; New York : Oxford University Press, 2008.</t>
        </is>
      </c>
      <c r="M1078" t="inlineStr">
        <is>
          <t>2008</t>
        </is>
      </c>
      <c r="O1078" t="inlineStr">
        <is>
          <t>eng</t>
        </is>
      </c>
      <c r="P1078" t="inlineStr">
        <is>
          <t>enk</t>
        </is>
      </c>
      <c r="Q1078" t="inlineStr">
        <is>
          <t>International Union of Crystallography texts on crystallography ; 10</t>
        </is>
      </c>
      <c r="R1078" t="inlineStr">
        <is>
          <t xml:space="preserve">QD </t>
        </is>
      </c>
      <c r="S1078" t="n">
        <v>1</v>
      </c>
      <c r="T1078" t="n">
        <v>1</v>
      </c>
      <c r="U1078" t="inlineStr">
        <is>
          <t>2010-02-22</t>
        </is>
      </c>
      <c r="V1078" t="inlineStr">
        <is>
          <t>2010-02-22</t>
        </is>
      </c>
      <c r="W1078" t="inlineStr">
        <is>
          <t>2010-02-22</t>
        </is>
      </c>
      <c r="X1078" t="inlineStr">
        <is>
          <t>2010-02-22</t>
        </is>
      </c>
      <c r="Y1078" t="n">
        <v>299</v>
      </c>
      <c r="Z1078" t="n">
        <v>213</v>
      </c>
      <c r="AA1078" t="n">
        <v>282</v>
      </c>
      <c r="AB1078" t="n">
        <v>4</v>
      </c>
      <c r="AC1078" t="n">
        <v>4</v>
      </c>
      <c r="AD1078" t="n">
        <v>15</v>
      </c>
      <c r="AE1078" t="n">
        <v>18</v>
      </c>
      <c r="AF1078" t="n">
        <v>5</v>
      </c>
      <c r="AG1078" t="n">
        <v>5</v>
      </c>
      <c r="AH1078" t="n">
        <v>2</v>
      </c>
      <c r="AI1078" t="n">
        <v>5</v>
      </c>
      <c r="AJ1078" t="n">
        <v>8</v>
      </c>
      <c r="AK1078" t="n">
        <v>9</v>
      </c>
      <c r="AL1078" t="n">
        <v>3</v>
      </c>
      <c r="AM1078" t="n">
        <v>3</v>
      </c>
      <c r="AN1078" t="n">
        <v>0</v>
      </c>
      <c r="AO1078" t="n">
        <v>0</v>
      </c>
      <c r="AP1078" t="inlineStr">
        <is>
          <t>No</t>
        </is>
      </c>
      <c r="AQ1078" t="inlineStr">
        <is>
          <t>Yes</t>
        </is>
      </c>
      <c r="AR1078">
        <f>HYPERLINK("http://catalog.hathitrust.org/Record/005900040","HathiTrust Record")</f>
        <v/>
      </c>
      <c r="AS1078">
        <f>HYPERLINK("https://creighton-primo.hosted.exlibrisgroup.com/primo-explore/search?tab=default_tab&amp;search_scope=EVERYTHING&amp;vid=01CRU&amp;lang=en_US&amp;offset=0&amp;query=any,contains,991005363599702656","Catalog Record")</f>
        <v/>
      </c>
      <c r="AT1078">
        <f>HYPERLINK("http://www.worldcat.org/oclc/153582154","WorldCat Record")</f>
        <v/>
      </c>
      <c r="AU1078" t="inlineStr">
        <is>
          <t>104341185:eng</t>
        </is>
      </c>
      <c r="AV1078" t="inlineStr">
        <is>
          <t>153582154</t>
        </is>
      </c>
      <c r="AW1078" t="inlineStr">
        <is>
          <t>991005363599702656</t>
        </is>
      </c>
      <c r="AX1078" t="inlineStr">
        <is>
          <t>991005363599702656</t>
        </is>
      </c>
      <c r="AY1078" t="inlineStr">
        <is>
          <t>2269222800002656</t>
        </is>
      </c>
      <c r="AZ1078" t="inlineStr">
        <is>
          <t>BOOK</t>
        </is>
      </c>
      <c r="BB1078" t="inlineStr">
        <is>
          <t>9780199216949</t>
        </is>
      </c>
      <c r="BC1078" t="inlineStr">
        <is>
          <t>32285005574594</t>
        </is>
      </c>
      <c r="BD1078" t="inlineStr">
        <is>
          <t>893811044</t>
        </is>
      </c>
    </row>
    <row r="1079">
      <c r="A1079" t="inlineStr">
        <is>
          <t>No</t>
        </is>
      </c>
      <c r="B1079" t="inlineStr">
        <is>
          <t>QD476 .B6713 1993</t>
        </is>
      </c>
      <c r="C1079" t="inlineStr">
        <is>
          <t>0                      QD 0476000B  6713        1993</t>
        </is>
      </c>
      <c r="D1079" t="inlineStr">
        <is>
          <t>Structure elucidation by NMR in organic chemistry : a practical guide / Eberhard Breitmaier ; translated by Julia Wade.</t>
        </is>
      </c>
      <c r="F1079" t="inlineStr">
        <is>
          <t>No</t>
        </is>
      </c>
      <c r="G1079" t="inlineStr">
        <is>
          <t>1</t>
        </is>
      </c>
      <c r="H1079" t="inlineStr">
        <is>
          <t>No</t>
        </is>
      </c>
      <c r="I1079" t="inlineStr">
        <is>
          <t>No</t>
        </is>
      </c>
      <c r="J1079" t="inlineStr">
        <is>
          <t>0</t>
        </is>
      </c>
      <c r="K1079" t="inlineStr">
        <is>
          <t>Breitmaier, Eberhard, 1939-</t>
        </is>
      </c>
      <c r="L1079" t="inlineStr">
        <is>
          <t>Chichester ; New York : Wiley, c1993.</t>
        </is>
      </c>
      <c r="M1079" t="inlineStr">
        <is>
          <t>1993</t>
        </is>
      </c>
      <c r="O1079" t="inlineStr">
        <is>
          <t>eng</t>
        </is>
      </c>
      <c r="P1079" t="inlineStr">
        <is>
          <t>enk</t>
        </is>
      </c>
      <c r="R1079" t="inlineStr">
        <is>
          <t xml:space="preserve">QD </t>
        </is>
      </c>
      <c r="S1079" t="n">
        <v>14</v>
      </c>
      <c r="T1079" t="n">
        <v>14</v>
      </c>
      <c r="U1079" t="inlineStr">
        <is>
          <t>2000-02-29</t>
        </is>
      </c>
      <c r="V1079" t="inlineStr">
        <is>
          <t>2000-02-29</t>
        </is>
      </c>
      <c r="W1079" t="inlineStr">
        <is>
          <t>1993-11-30</t>
        </is>
      </c>
      <c r="X1079" t="inlineStr">
        <is>
          <t>1993-11-30</t>
        </is>
      </c>
      <c r="Y1079" t="n">
        <v>553</v>
      </c>
      <c r="Z1079" t="n">
        <v>415</v>
      </c>
      <c r="AA1079" t="n">
        <v>589</v>
      </c>
      <c r="AB1079" t="n">
        <v>3</v>
      </c>
      <c r="AC1079" t="n">
        <v>4</v>
      </c>
      <c r="AD1079" t="n">
        <v>27</v>
      </c>
      <c r="AE1079" t="n">
        <v>33</v>
      </c>
      <c r="AF1079" t="n">
        <v>12</v>
      </c>
      <c r="AG1079" t="n">
        <v>16</v>
      </c>
      <c r="AH1079" t="n">
        <v>8</v>
      </c>
      <c r="AI1079" t="n">
        <v>8</v>
      </c>
      <c r="AJ1079" t="n">
        <v>13</v>
      </c>
      <c r="AK1079" t="n">
        <v>15</v>
      </c>
      <c r="AL1079" t="n">
        <v>2</v>
      </c>
      <c r="AM1079" t="n">
        <v>3</v>
      </c>
      <c r="AN1079" t="n">
        <v>0</v>
      </c>
      <c r="AO1079" t="n">
        <v>0</v>
      </c>
      <c r="AP1079" t="inlineStr">
        <is>
          <t>No</t>
        </is>
      </c>
      <c r="AQ1079" t="inlineStr">
        <is>
          <t>Yes</t>
        </is>
      </c>
      <c r="AR1079">
        <f>HYPERLINK("http://catalog.hathitrust.org/Record/002638167","HathiTrust Record")</f>
        <v/>
      </c>
      <c r="AS1079">
        <f>HYPERLINK("https://creighton-primo.hosted.exlibrisgroup.com/primo-explore/search?tab=default_tab&amp;search_scope=EVERYTHING&amp;vid=01CRU&amp;lang=en_US&amp;offset=0&amp;query=any,contains,991002039559702656","Catalog Record")</f>
        <v/>
      </c>
      <c r="AT1079">
        <f>HYPERLINK("http://www.worldcat.org/oclc/26013521","WorldCat Record")</f>
        <v/>
      </c>
      <c r="AU1079" t="inlineStr">
        <is>
          <t>1018241:eng</t>
        </is>
      </c>
      <c r="AV1079" t="inlineStr">
        <is>
          <t>26013521</t>
        </is>
      </c>
      <c r="AW1079" t="inlineStr">
        <is>
          <t>991002039559702656</t>
        </is>
      </c>
      <c r="AX1079" t="inlineStr">
        <is>
          <t>991002039559702656</t>
        </is>
      </c>
      <c r="AY1079" t="inlineStr">
        <is>
          <t>2258244200002656</t>
        </is>
      </c>
      <c r="AZ1079" t="inlineStr">
        <is>
          <t>BOOK</t>
        </is>
      </c>
      <c r="BB1079" t="inlineStr">
        <is>
          <t>9780471933816</t>
        </is>
      </c>
      <c r="BC1079" t="inlineStr">
        <is>
          <t>32285001813749</t>
        </is>
      </c>
      <c r="BD1079" t="inlineStr">
        <is>
          <t>893250738</t>
        </is>
      </c>
    </row>
    <row r="1080">
      <c r="A1080" t="inlineStr">
        <is>
          <t>No</t>
        </is>
      </c>
      <c r="B1080" t="inlineStr">
        <is>
          <t>QD476 .H5</t>
        </is>
      </c>
      <c r="C1080" t="inlineStr">
        <is>
          <t>0                      QD 0476000H  5</t>
        </is>
      </c>
      <c r="D1080" t="inlineStr">
        <is>
          <t>Physical organic chemistry.</t>
        </is>
      </c>
      <c r="F1080" t="inlineStr">
        <is>
          <t>No</t>
        </is>
      </c>
      <c r="G1080" t="inlineStr">
        <is>
          <t>1</t>
        </is>
      </c>
      <c r="H1080" t="inlineStr">
        <is>
          <t>No</t>
        </is>
      </c>
      <c r="I1080" t="inlineStr">
        <is>
          <t>No</t>
        </is>
      </c>
      <c r="J1080" t="inlineStr">
        <is>
          <t>0</t>
        </is>
      </c>
      <c r="K1080" t="inlineStr">
        <is>
          <t>Hine, Jack, 1923-1988.</t>
        </is>
      </c>
      <c r="L1080" t="inlineStr">
        <is>
          <t>New York, McGraw-Hill, 1956.</t>
        </is>
      </c>
      <c r="M1080" t="inlineStr">
        <is>
          <t>1956</t>
        </is>
      </c>
      <c r="O1080" t="inlineStr">
        <is>
          <t>eng</t>
        </is>
      </c>
      <c r="P1080" t="inlineStr">
        <is>
          <t>nyu</t>
        </is>
      </c>
      <c r="R1080" t="inlineStr">
        <is>
          <t xml:space="preserve">QD </t>
        </is>
      </c>
      <c r="S1080" t="n">
        <v>3</v>
      </c>
      <c r="T1080" t="n">
        <v>3</v>
      </c>
      <c r="U1080" t="inlineStr">
        <is>
          <t>2000-08-07</t>
        </is>
      </c>
      <c r="V1080" t="inlineStr">
        <is>
          <t>2000-08-07</t>
        </is>
      </c>
      <c r="W1080" t="inlineStr">
        <is>
          <t>1997-06-13</t>
        </is>
      </c>
      <c r="X1080" t="inlineStr">
        <is>
          <t>1997-06-13</t>
        </is>
      </c>
      <c r="Y1080" t="n">
        <v>400</v>
      </c>
      <c r="Z1080" t="n">
        <v>287</v>
      </c>
      <c r="AA1080" t="n">
        <v>838</v>
      </c>
      <c r="AB1080" t="n">
        <v>2</v>
      </c>
      <c r="AC1080" t="n">
        <v>7</v>
      </c>
      <c r="AD1080" t="n">
        <v>11</v>
      </c>
      <c r="AE1080" t="n">
        <v>27</v>
      </c>
      <c r="AF1080" t="n">
        <v>2</v>
      </c>
      <c r="AG1080" t="n">
        <v>8</v>
      </c>
      <c r="AH1080" t="n">
        <v>1</v>
      </c>
      <c r="AI1080" t="n">
        <v>5</v>
      </c>
      <c r="AJ1080" t="n">
        <v>8</v>
      </c>
      <c r="AK1080" t="n">
        <v>12</v>
      </c>
      <c r="AL1080" t="n">
        <v>1</v>
      </c>
      <c r="AM1080" t="n">
        <v>6</v>
      </c>
      <c r="AN1080" t="n">
        <v>0</v>
      </c>
      <c r="AO1080" t="n">
        <v>0</v>
      </c>
      <c r="AP1080" t="inlineStr">
        <is>
          <t>No</t>
        </is>
      </c>
      <c r="AQ1080" t="inlineStr">
        <is>
          <t>Yes</t>
        </is>
      </c>
      <c r="AR1080">
        <f>HYPERLINK("http://catalog.hathitrust.org/Record/001034619","HathiTrust Record")</f>
        <v/>
      </c>
      <c r="AS1080">
        <f>HYPERLINK("https://creighton-primo.hosted.exlibrisgroup.com/primo-explore/search?tab=default_tab&amp;search_scope=EVERYTHING&amp;vid=01CRU&amp;lang=en_US&amp;offset=0&amp;query=any,contains,991003713329702656","Catalog Record")</f>
        <v/>
      </c>
      <c r="AT1080">
        <f>HYPERLINK("http://www.worldcat.org/oclc/1355785","WorldCat Record")</f>
        <v/>
      </c>
      <c r="AU1080" t="inlineStr">
        <is>
          <t>763005369:eng</t>
        </is>
      </c>
      <c r="AV1080" t="inlineStr">
        <is>
          <t>1355785</t>
        </is>
      </c>
      <c r="AW1080" t="inlineStr">
        <is>
          <t>991003713329702656</t>
        </is>
      </c>
      <c r="AX1080" t="inlineStr">
        <is>
          <t>991003713329702656</t>
        </is>
      </c>
      <c r="AY1080" t="inlineStr">
        <is>
          <t>2272364030002656</t>
        </is>
      </c>
      <c r="AZ1080" t="inlineStr">
        <is>
          <t>BOOK</t>
        </is>
      </c>
      <c r="BC1080" t="inlineStr">
        <is>
          <t>32285002807187</t>
        </is>
      </c>
      <c r="BD1080" t="inlineStr">
        <is>
          <t>893775064</t>
        </is>
      </c>
    </row>
    <row r="1081">
      <c r="A1081" t="inlineStr">
        <is>
          <t>No</t>
        </is>
      </c>
      <c r="B1081" t="inlineStr">
        <is>
          <t>QD476 .I55</t>
        </is>
      </c>
      <c r="C1081" t="inlineStr">
        <is>
          <t>0                      QD 0476000I  55</t>
        </is>
      </c>
      <c r="D1081" t="inlineStr">
        <is>
          <t>Structure and mechanism in organic chemistry.</t>
        </is>
      </c>
      <c r="F1081" t="inlineStr">
        <is>
          <t>No</t>
        </is>
      </c>
      <c r="G1081" t="inlineStr">
        <is>
          <t>1</t>
        </is>
      </c>
      <c r="H1081" t="inlineStr">
        <is>
          <t>No</t>
        </is>
      </c>
      <c r="I1081" t="inlineStr">
        <is>
          <t>No</t>
        </is>
      </c>
      <c r="J1081" t="inlineStr">
        <is>
          <t>0</t>
        </is>
      </c>
      <c r="K1081" t="inlineStr">
        <is>
          <t>Ingold, Christopher, Sir, 1893-1970.</t>
        </is>
      </c>
      <c r="L1081" t="inlineStr">
        <is>
          <t>Ithaca, Cornell University Press, 1953.</t>
        </is>
      </c>
      <c r="M1081" t="inlineStr">
        <is>
          <t>1953</t>
        </is>
      </c>
      <c r="O1081" t="inlineStr">
        <is>
          <t>eng</t>
        </is>
      </c>
      <c r="P1081" t="inlineStr">
        <is>
          <t>nyu</t>
        </is>
      </c>
      <c r="Q1081" t="inlineStr">
        <is>
          <t>The George Fisher Baker non-resident lectureship in chemistry at Cornell University, 1950-51</t>
        </is>
      </c>
      <c r="R1081" t="inlineStr">
        <is>
          <t xml:space="preserve">QD </t>
        </is>
      </c>
      <c r="S1081" t="n">
        <v>3</v>
      </c>
      <c r="T1081" t="n">
        <v>3</v>
      </c>
      <c r="U1081" t="inlineStr">
        <is>
          <t>2000-08-07</t>
        </is>
      </c>
      <c r="V1081" t="inlineStr">
        <is>
          <t>2000-08-07</t>
        </is>
      </c>
      <c r="W1081" t="inlineStr">
        <is>
          <t>1997-06-13</t>
        </is>
      </c>
      <c r="X1081" t="inlineStr">
        <is>
          <t>1997-06-13</t>
        </is>
      </c>
      <c r="Y1081" t="n">
        <v>478</v>
      </c>
      <c r="Z1081" t="n">
        <v>395</v>
      </c>
      <c r="AA1081" t="n">
        <v>825</v>
      </c>
      <c r="AB1081" t="n">
        <v>3</v>
      </c>
      <c r="AC1081" t="n">
        <v>9</v>
      </c>
      <c r="AD1081" t="n">
        <v>20</v>
      </c>
      <c r="AE1081" t="n">
        <v>35</v>
      </c>
      <c r="AF1081" t="n">
        <v>5</v>
      </c>
      <c r="AG1081" t="n">
        <v>10</v>
      </c>
      <c r="AH1081" t="n">
        <v>4</v>
      </c>
      <c r="AI1081" t="n">
        <v>5</v>
      </c>
      <c r="AJ1081" t="n">
        <v>11</v>
      </c>
      <c r="AK1081" t="n">
        <v>17</v>
      </c>
      <c r="AL1081" t="n">
        <v>2</v>
      </c>
      <c r="AM1081" t="n">
        <v>8</v>
      </c>
      <c r="AN1081" t="n">
        <v>0</v>
      </c>
      <c r="AO1081" t="n">
        <v>0</v>
      </c>
      <c r="AP1081" t="inlineStr">
        <is>
          <t>No</t>
        </is>
      </c>
      <c r="AQ1081" t="inlineStr">
        <is>
          <t>Yes</t>
        </is>
      </c>
      <c r="AR1081">
        <f>HYPERLINK("http://catalog.hathitrust.org/Record/001114131","HathiTrust Record")</f>
        <v/>
      </c>
      <c r="AS1081">
        <f>HYPERLINK("https://creighton-primo.hosted.exlibrisgroup.com/primo-explore/search?tab=default_tab&amp;search_scope=EVERYTHING&amp;vid=01CRU&amp;lang=en_US&amp;offset=0&amp;query=any,contains,991002965179702656","Catalog Record")</f>
        <v/>
      </c>
      <c r="AT1081">
        <f>HYPERLINK("http://www.worldcat.org/oclc/545515","WorldCat Record")</f>
        <v/>
      </c>
      <c r="AU1081" t="inlineStr">
        <is>
          <t>1144919:eng</t>
        </is>
      </c>
      <c r="AV1081" t="inlineStr">
        <is>
          <t>545515</t>
        </is>
      </c>
      <c r="AW1081" t="inlineStr">
        <is>
          <t>991002965179702656</t>
        </is>
      </c>
      <c r="AX1081" t="inlineStr">
        <is>
          <t>991002965179702656</t>
        </is>
      </c>
      <c r="AY1081" t="inlineStr">
        <is>
          <t>2264538880002656</t>
        </is>
      </c>
      <c r="AZ1081" t="inlineStr">
        <is>
          <t>BOOK</t>
        </is>
      </c>
      <c r="BC1081" t="inlineStr">
        <is>
          <t>32285002807203</t>
        </is>
      </c>
      <c r="BD1081" t="inlineStr">
        <is>
          <t>893518002</t>
        </is>
      </c>
    </row>
    <row r="1082">
      <c r="A1082" t="inlineStr">
        <is>
          <t>No</t>
        </is>
      </c>
      <c r="B1082" t="inlineStr">
        <is>
          <t>QD476 .J3</t>
        </is>
      </c>
      <c r="C1082" t="inlineStr">
        <is>
          <t>0                      QD 0476000J  3</t>
        </is>
      </c>
      <c r="D1082" t="inlineStr">
        <is>
          <t>Applications of nuclear magnetic resonance spectroscopy in organic chemistry.</t>
        </is>
      </c>
      <c r="F1082" t="inlineStr">
        <is>
          <t>No</t>
        </is>
      </c>
      <c r="G1082" t="inlineStr">
        <is>
          <t>1</t>
        </is>
      </c>
      <c r="H1082" t="inlineStr">
        <is>
          <t>No</t>
        </is>
      </c>
      <c r="I1082" t="inlineStr">
        <is>
          <t>No</t>
        </is>
      </c>
      <c r="J1082" t="inlineStr">
        <is>
          <t>0</t>
        </is>
      </c>
      <c r="K1082" t="inlineStr">
        <is>
          <t>Jackman, Lloyd Miles.</t>
        </is>
      </c>
      <c r="L1082" t="inlineStr">
        <is>
          <t>London ; New York : Pergamon Press, 1959.</t>
        </is>
      </c>
      <c r="M1082" t="inlineStr">
        <is>
          <t>1959</t>
        </is>
      </c>
      <c r="O1082" t="inlineStr">
        <is>
          <t>eng</t>
        </is>
      </c>
      <c r="P1082" t="inlineStr">
        <is>
          <t>enk</t>
        </is>
      </c>
      <c r="Q1082" t="inlineStr">
        <is>
          <t>International series of monographs on organic chemistry ; v. 5</t>
        </is>
      </c>
      <c r="R1082" t="inlineStr">
        <is>
          <t xml:space="preserve">QD </t>
        </is>
      </c>
      <c r="S1082" t="n">
        <v>2</v>
      </c>
      <c r="T1082" t="n">
        <v>2</v>
      </c>
      <c r="U1082" t="inlineStr">
        <is>
          <t>1995-04-22</t>
        </is>
      </c>
      <c r="V1082" t="inlineStr">
        <is>
          <t>1995-04-22</t>
        </is>
      </c>
      <c r="W1082" t="inlineStr">
        <is>
          <t>1991-08-09</t>
        </is>
      </c>
      <c r="X1082" t="inlineStr">
        <is>
          <t>1991-08-09</t>
        </is>
      </c>
      <c r="Y1082" t="n">
        <v>560</v>
      </c>
      <c r="Z1082" t="n">
        <v>437</v>
      </c>
      <c r="AA1082" t="n">
        <v>815</v>
      </c>
      <c r="AB1082" t="n">
        <v>3</v>
      </c>
      <c r="AC1082" t="n">
        <v>4</v>
      </c>
      <c r="AD1082" t="n">
        <v>14</v>
      </c>
      <c r="AE1082" t="n">
        <v>35</v>
      </c>
      <c r="AF1082" t="n">
        <v>2</v>
      </c>
      <c r="AG1082" t="n">
        <v>12</v>
      </c>
      <c r="AH1082" t="n">
        <v>4</v>
      </c>
      <c r="AI1082" t="n">
        <v>8</v>
      </c>
      <c r="AJ1082" t="n">
        <v>10</v>
      </c>
      <c r="AK1082" t="n">
        <v>19</v>
      </c>
      <c r="AL1082" t="n">
        <v>2</v>
      </c>
      <c r="AM1082" t="n">
        <v>3</v>
      </c>
      <c r="AN1082" t="n">
        <v>0</v>
      </c>
      <c r="AO1082" t="n">
        <v>0</v>
      </c>
      <c r="AP1082" t="inlineStr">
        <is>
          <t>No</t>
        </is>
      </c>
      <c r="AQ1082" t="inlineStr">
        <is>
          <t>Yes</t>
        </is>
      </c>
      <c r="AR1082">
        <f>HYPERLINK("http://catalog.hathitrust.org/Record/004412454","HathiTrust Record")</f>
        <v/>
      </c>
      <c r="AS1082">
        <f>HYPERLINK("https://creighton-primo.hosted.exlibrisgroup.com/primo-explore/search?tab=default_tab&amp;search_scope=EVERYTHING&amp;vid=01CRU&amp;lang=en_US&amp;offset=0&amp;query=any,contains,991002965629702656","Catalog Record")</f>
        <v/>
      </c>
      <c r="AT1082">
        <f>HYPERLINK("http://www.worldcat.org/oclc/545656","WorldCat Record")</f>
        <v/>
      </c>
      <c r="AU1082" t="inlineStr">
        <is>
          <t>1124447:eng</t>
        </is>
      </c>
      <c r="AV1082" t="inlineStr">
        <is>
          <t>545656</t>
        </is>
      </c>
      <c r="AW1082" t="inlineStr">
        <is>
          <t>991002965629702656</t>
        </is>
      </c>
      <c r="AX1082" t="inlineStr">
        <is>
          <t>991002965629702656</t>
        </is>
      </c>
      <c r="AY1082" t="inlineStr">
        <is>
          <t>2264421350002656</t>
        </is>
      </c>
      <c r="AZ1082" t="inlineStr">
        <is>
          <t>BOOK</t>
        </is>
      </c>
      <c r="BC1082" t="inlineStr">
        <is>
          <t>32285000680909</t>
        </is>
      </c>
      <c r="BD1082" t="inlineStr">
        <is>
          <t>893627388</t>
        </is>
      </c>
    </row>
    <row r="1083">
      <c r="A1083" t="inlineStr">
        <is>
          <t>No</t>
        </is>
      </c>
      <c r="B1083" t="inlineStr">
        <is>
          <t>QD476 .K5413 1982</t>
        </is>
      </c>
      <c r="C1083" t="inlineStr">
        <is>
          <t>0                      QD 0476000K  5413        1982</t>
        </is>
      </c>
      <c r="D1083" t="inlineStr">
        <is>
          <t>Reactivity in organic chemistry / Gerhard W. Klumpp ; translated from the German by Ludmila Birladeanu.</t>
        </is>
      </c>
      <c r="F1083" t="inlineStr">
        <is>
          <t>No</t>
        </is>
      </c>
      <c r="G1083" t="inlineStr">
        <is>
          <t>1</t>
        </is>
      </c>
      <c r="H1083" t="inlineStr">
        <is>
          <t>No</t>
        </is>
      </c>
      <c r="I1083" t="inlineStr">
        <is>
          <t>No</t>
        </is>
      </c>
      <c r="J1083" t="inlineStr">
        <is>
          <t>0</t>
        </is>
      </c>
      <c r="K1083" t="inlineStr">
        <is>
          <t>Klumpp, G. W.</t>
        </is>
      </c>
      <c r="L1083" t="inlineStr">
        <is>
          <t>New York : Wiley, c1982.</t>
        </is>
      </c>
      <c r="M1083" t="inlineStr">
        <is>
          <t>1982</t>
        </is>
      </c>
      <c r="O1083" t="inlineStr">
        <is>
          <t>eng</t>
        </is>
      </c>
      <c r="P1083" t="inlineStr">
        <is>
          <t>nyu</t>
        </is>
      </c>
      <c r="R1083" t="inlineStr">
        <is>
          <t xml:space="preserve">QD </t>
        </is>
      </c>
      <c r="S1083" t="n">
        <v>2</v>
      </c>
      <c r="T1083" t="n">
        <v>2</v>
      </c>
      <c r="U1083" t="inlineStr">
        <is>
          <t>1993-10-28</t>
        </is>
      </c>
      <c r="V1083" t="inlineStr">
        <is>
          <t>1993-10-28</t>
        </is>
      </c>
      <c r="W1083" t="inlineStr">
        <is>
          <t>1990-08-15</t>
        </is>
      </c>
      <c r="X1083" t="inlineStr">
        <is>
          <t>1990-08-15</t>
        </is>
      </c>
      <c r="Y1083" t="n">
        <v>526</v>
      </c>
      <c r="Z1083" t="n">
        <v>430</v>
      </c>
      <c r="AA1083" t="n">
        <v>431</v>
      </c>
      <c r="AB1083" t="n">
        <v>4</v>
      </c>
      <c r="AC1083" t="n">
        <v>4</v>
      </c>
      <c r="AD1083" t="n">
        <v>21</v>
      </c>
      <c r="AE1083" t="n">
        <v>21</v>
      </c>
      <c r="AF1083" t="n">
        <v>8</v>
      </c>
      <c r="AG1083" t="n">
        <v>8</v>
      </c>
      <c r="AH1083" t="n">
        <v>6</v>
      </c>
      <c r="AI1083" t="n">
        <v>6</v>
      </c>
      <c r="AJ1083" t="n">
        <v>9</v>
      </c>
      <c r="AK1083" t="n">
        <v>9</v>
      </c>
      <c r="AL1083" t="n">
        <v>3</v>
      </c>
      <c r="AM1083" t="n">
        <v>3</v>
      </c>
      <c r="AN1083" t="n">
        <v>0</v>
      </c>
      <c r="AO1083" t="n">
        <v>0</v>
      </c>
      <c r="AP1083" t="inlineStr">
        <is>
          <t>No</t>
        </is>
      </c>
      <c r="AQ1083" t="inlineStr">
        <is>
          <t>Yes</t>
        </is>
      </c>
      <c r="AR1083">
        <f>HYPERLINK("http://catalog.hathitrust.org/Record/000762732","HathiTrust Record")</f>
        <v/>
      </c>
      <c r="AS1083">
        <f>HYPERLINK("https://creighton-primo.hosted.exlibrisgroup.com/primo-explore/search?tab=default_tab&amp;search_scope=EVERYTHING&amp;vid=01CRU&amp;lang=en_US&amp;offset=0&amp;query=any,contains,991005168099702656","Catalog Record")</f>
        <v/>
      </c>
      <c r="AT1083">
        <f>HYPERLINK("http://www.worldcat.org/oclc/7837267","WorldCat Record")</f>
        <v/>
      </c>
      <c r="AU1083" t="inlineStr">
        <is>
          <t>3145290318:eng</t>
        </is>
      </c>
      <c r="AV1083" t="inlineStr">
        <is>
          <t>7837267</t>
        </is>
      </c>
      <c r="AW1083" t="inlineStr">
        <is>
          <t>991005168099702656</t>
        </is>
      </c>
      <c r="AX1083" t="inlineStr">
        <is>
          <t>991005168099702656</t>
        </is>
      </c>
      <c r="AY1083" t="inlineStr">
        <is>
          <t>2256953860002656</t>
        </is>
      </c>
      <c r="AZ1083" t="inlineStr">
        <is>
          <t>BOOK</t>
        </is>
      </c>
      <c r="BB1083" t="inlineStr">
        <is>
          <t>9780471062851</t>
        </is>
      </c>
      <c r="BC1083" t="inlineStr">
        <is>
          <t>32285000269026</t>
        </is>
      </c>
      <c r="BD1083" t="inlineStr">
        <is>
          <t>893527030</t>
        </is>
      </c>
    </row>
    <row r="1084">
      <c r="A1084" t="inlineStr">
        <is>
          <t>No</t>
        </is>
      </c>
      <c r="B1084" t="inlineStr">
        <is>
          <t>QD476 .M38 2008</t>
        </is>
      </c>
      <c r="C1084" t="inlineStr">
        <is>
          <t>0                      QD 0476000M  38          2008</t>
        </is>
      </c>
      <c r="D1084" t="inlineStr">
        <is>
          <t>Structure and reactivity in organic chemistry / Mark G. Moloney.</t>
        </is>
      </c>
      <c r="F1084" t="inlineStr">
        <is>
          <t>No</t>
        </is>
      </c>
      <c r="G1084" t="inlineStr">
        <is>
          <t>1</t>
        </is>
      </c>
      <c r="H1084" t="inlineStr">
        <is>
          <t>No</t>
        </is>
      </c>
      <c r="I1084" t="inlineStr">
        <is>
          <t>No</t>
        </is>
      </c>
      <c r="J1084" t="inlineStr">
        <is>
          <t>0</t>
        </is>
      </c>
      <c r="K1084" t="inlineStr">
        <is>
          <t>Moloney, Mark G.</t>
        </is>
      </c>
      <c r="L1084" t="inlineStr">
        <is>
          <t>Oxford ; Ames, Iowa : Blackwell Pub., 2008.</t>
        </is>
      </c>
      <c r="M1084" t="inlineStr">
        <is>
          <t>2008</t>
        </is>
      </c>
      <c r="O1084" t="inlineStr">
        <is>
          <t>eng</t>
        </is>
      </c>
      <c r="P1084" t="inlineStr">
        <is>
          <t>enk</t>
        </is>
      </c>
      <c r="R1084" t="inlineStr">
        <is>
          <t xml:space="preserve">QD </t>
        </is>
      </c>
      <c r="S1084" t="n">
        <v>1</v>
      </c>
      <c r="T1084" t="n">
        <v>1</v>
      </c>
      <c r="U1084" t="inlineStr">
        <is>
          <t>2010-02-22</t>
        </is>
      </c>
      <c r="V1084" t="inlineStr">
        <is>
          <t>2010-02-22</t>
        </is>
      </c>
      <c r="W1084" t="inlineStr">
        <is>
          <t>2010-02-22</t>
        </is>
      </c>
      <c r="X1084" t="inlineStr">
        <is>
          <t>2010-02-22</t>
        </is>
      </c>
      <c r="Y1084" t="n">
        <v>411</v>
      </c>
      <c r="Z1084" t="n">
        <v>295</v>
      </c>
      <c r="AA1084" t="n">
        <v>297</v>
      </c>
      <c r="AB1084" t="n">
        <v>7</v>
      </c>
      <c r="AC1084" t="n">
        <v>7</v>
      </c>
      <c r="AD1084" t="n">
        <v>24</v>
      </c>
      <c r="AE1084" t="n">
        <v>24</v>
      </c>
      <c r="AF1084" t="n">
        <v>8</v>
      </c>
      <c r="AG1084" t="n">
        <v>8</v>
      </c>
      <c r="AH1084" t="n">
        <v>4</v>
      </c>
      <c r="AI1084" t="n">
        <v>4</v>
      </c>
      <c r="AJ1084" t="n">
        <v>11</v>
      </c>
      <c r="AK1084" t="n">
        <v>11</v>
      </c>
      <c r="AL1084" t="n">
        <v>6</v>
      </c>
      <c r="AM1084" t="n">
        <v>6</v>
      </c>
      <c r="AN1084" t="n">
        <v>0</v>
      </c>
      <c r="AO1084" t="n">
        <v>0</v>
      </c>
      <c r="AP1084" t="inlineStr">
        <is>
          <t>No</t>
        </is>
      </c>
      <c r="AQ1084" t="inlineStr">
        <is>
          <t>Yes</t>
        </is>
      </c>
      <c r="AR1084">
        <f>HYPERLINK("http://catalog.hathitrust.org/Record/005900140","HathiTrust Record")</f>
        <v/>
      </c>
      <c r="AS1084">
        <f>HYPERLINK("https://creighton-primo.hosted.exlibrisgroup.com/primo-explore/search?tab=default_tab&amp;search_scope=EVERYTHING&amp;vid=01CRU&amp;lang=en_US&amp;offset=0&amp;query=any,contains,991005363769702656","Catalog Record")</f>
        <v/>
      </c>
      <c r="AT1084">
        <f>HYPERLINK("http://www.worldcat.org/oclc/170955234","WorldCat Record")</f>
        <v/>
      </c>
      <c r="AU1084" t="inlineStr">
        <is>
          <t>113673121:eng</t>
        </is>
      </c>
      <c r="AV1084" t="inlineStr">
        <is>
          <t>170955234</t>
        </is>
      </c>
      <c r="AW1084" t="inlineStr">
        <is>
          <t>991005363769702656</t>
        </is>
      </c>
      <c r="AX1084" t="inlineStr">
        <is>
          <t>991005363769702656</t>
        </is>
      </c>
      <c r="AY1084" t="inlineStr">
        <is>
          <t>2270712780002656</t>
        </is>
      </c>
      <c r="AZ1084" t="inlineStr">
        <is>
          <t>BOOK</t>
        </is>
      </c>
      <c r="BB1084" t="inlineStr">
        <is>
          <t>9781405114516</t>
        </is>
      </c>
      <c r="BC1084" t="inlineStr">
        <is>
          <t>32285005574586</t>
        </is>
      </c>
      <c r="BD1084" t="inlineStr">
        <is>
          <t>893905415</t>
        </is>
      </c>
    </row>
    <row r="1085">
      <c r="A1085" t="inlineStr">
        <is>
          <t>No</t>
        </is>
      </c>
      <c r="B1085" t="inlineStr">
        <is>
          <t>QD476 .O73</t>
        </is>
      </c>
      <c r="C1085" t="inlineStr">
        <is>
          <t>0                      QD 0476000O  73</t>
        </is>
      </c>
      <c r="D1085" t="inlineStr">
        <is>
          <t>Organic liquids : structure, dynamics, and chemical properties / edited by A. D. Buckingham, E. Lippert, and S. Bratos.</t>
        </is>
      </c>
      <c r="F1085" t="inlineStr">
        <is>
          <t>No</t>
        </is>
      </c>
      <c r="G1085" t="inlineStr">
        <is>
          <t>1</t>
        </is>
      </c>
      <c r="H1085" t="inlineStr">
        <is>
          <t>No</t>
        </is>
      </c>
      <c r="I1085" t="inlineStr">
        <is>
          <t>No</t>
        </is>
      </c>
      <c r="J1085" t="inlineStr">
        <is>
          <t>0</t>
        </is>
      </c>
      <c r="L1085" t="inlineStr">
        <is>
          <t>Chichester, [Eng.] ; New York : Wiley, c1978.</t>
        </is>
      </c>
      <c r="M1085" t="inlineStr">
        <is>
          <t>1978</t>
        </is>
      </c>
      <c r="O1085" t="inlineStr">
        <is>
          <t>eng</t>
        </is>
      </c>
      <c r="P1085" t="inlineStr">
        <is>
          <t>enk</t>
        </is>
      </c>
      <c r="R1085" t="inlineStr">
        <is>
          <t xml:space="preserve">QD </t>
        </is>
      </c>
      <c r="S1085" t="n">
        <v>10</v>
      </c>
      <c r="T1085" t="n">
        <v>10</v>
      </c>
      <c r="U1085" t="inlineStr">
        <is>
          <t>1997-04-01</t>
        </is>
      </c>
      <c r="V1085" t="inlineStr">
        <is>
          <t>1997-04-01</t>
        </is>
      </c>
      <c r="W1085" t="inlineStr">
        <is>
          <t>1993-02-03</t>
        </is>
      </c>
      <c r="X1085" t="inlineStr">
        <is>
          <t>1993-02-03</t>
        </is>
      </c>
      <c r="Y1085" t="n">
        <v>284</v>
      </c>
      <c r="Z1085" t="n">
        <v>167</v>
      </c>
      <c r="AA1085" t="n">
        <v>169</v>
      </c>
      <c r="AB1085" t="n">
        <v>2</v>
      </c>
      <c r="AC1085" t="n">
        <v>2</v>
      </c>
      <c r="AD1085" t="n">
        <v>6</v>
      </c>
      <c r="AE1085" t="n">
        <v>6</v>
      </c>
      <c r="AF1085" t="n">
        <v>2</v>
      </c>
      <c r="AG1085" t="n">
        <v>2</v>
      </c>
      <c r="AH1085" t="n">
        <v>2</v>
      </c>
      <c r="AI1085" t="n">
        <v>2</v>
      </c>
      <c r="AJ1085" t="n">
        <v>3</v>
      </c>
      <c r="AK1085" t="n">
        <v>3</v>
      </c>
      <c r="AL1085" t="n">
        <v>1</v>
      </c>
      <c r="AM1085" t="n">
        <v>1</v>
      </c>
      <c r="AN1085" t="n">
        <v>0</v>
      </c>
      <c r="AO1085" t="n">
        <v>0</v>
      </c>
      <c r="AP1085" t="inlineStr">
        <is>
          <t>No</t>
        </is>
      </c>
      <c r="AQ1085" t="inlineStr">
        <is>
          <t>Yes</t>
        </is>
      </c>
      <c r="AR1085">
        <f>HYPERLINK("http://catalog.hathitrust.org/Record/000137297","HathiTrust Record")</f>
        <v/>
      </c>
      <c r="AS1085">
        <f>HYPERLINK("https://creighton-primo.hosted.exlibrisgroup.com/primo-explore/search?tab=default_tab&amp;search_scope=EVERYTHING&amp;vid=01CRU&amp;lang=en_US&amp;offset=0&amp;query=any,contains,991004541059702656","Catalog Record")</f>
        <v/>
      </c>
      <c r="AT1085">
        <f>HYPERLINK("http://www.worldcat.org/oclc/3893682","WorldCat Record")</f>
        <v/>
      </c>
      <c r="AU1085" t="inlineStr">
        <is>
          <t>365402905:eng</t>
        </is>
      </c>
      <c r="AV1085" t="inlineStr">
        <is>
          <t>3893682</t>
        </is>
      </c>
      <c r="AW1085" t="inlineStr">
        <is>
          <t>991004541059702656</t>
        </is>
      </c>
      <c r="AX1085" t="inlineStr">
        <is>
          <t>991004541059702656</t>
        </is>
      </c>
      <c r="AY1085" t="inlineStr">
        <is>
          <t>2271874040002656</t>
        </is>
      </c>
      <c r="AZ1085" t="inlineStr">
        <is>
          <t>BOOK</t>
        </is>
      </c>
      <c r="BB1085" t="inlineStr">
        <is>
          <t>9780471996736</t>
        </is>
      </c>
      <c r="BC1085" t="inlineStr">
        <is>
          <t>32285001516961</t>
        </is>
      </c>
      <c r="BD1085" t="inlineStr">
        <is>
          <t>893532518</t>
        </is>
      </c>
    </row>
    <row r="1086">
      <c r="A1086" t="inlineStr">
        <is>
          <t>No</t>
        </is>
      </c>
      <c r="B1086" t="inlineStr">
        <is>
          <t>QD476 .S34 1964</t>
        </is>
      </c>
      <c r="C1086" t="inlineStr">
        <is>
          <t>0                      QD 0476000S  34          1964</t>
        </is>
      </c>
      <c r="D1086" t="inlineStr">
        <is>
          <t>Interpretation of the ultraviolet spectra of natural products, by A. I. Scott.</t>
        </is>
      </c>
      <c r="F1086" t="inlineStr">
        <is>
          <t>No</t>
        </is>
      </c>
      <c r="G1086" t="inlineStr">
        <is>
          <t>1</t>
        </is>
      </c>
      <c r="H1086" t="inlineStr">
        <is>
          <t>No</t>
        </is>
      </c>
      <c r="I1086" t="inlineStr">
        <is>
          <t>No</t>
        </is>
      </c>
      <c r="J1086" t="inlineStr">
        <is>
          <t>0</t>
        </is>
      </c>
      <c r="K1086" t="inlineStr">
        <is>
          <t>Scott, A. Ian (Alastair Ian)</t>
        </is>
      </c>
      <c r="L1086" t="inlineStr">
        <is>
          <t>Oxford, New York, Pergamon Press; [distributed by Macmillan] 1964.</t>
        </is>
      </c>
      <c r="M1086" t="inlineStr">
        <is>
          <t>1964</t>
        </is>
      </c>
      <c r="O1086" t="inlineStr">
        <is>
          <t>eng</t>
        </is>
      </c>
      <c r="P1086" t="inlineStr">
        <is>
          <t>enk</t>
        </is>
      </c>
      <c r="Q1086" t="inlineStr">
        <is>
          <t>International series of monographs on organic chemistry ; v. 7</t>
        </is>
      </c>
      <c r="R1086" t="inlineStr">
        <is>
          <t xml:space="preserve">QD </t>
        </is>
      </c>
      <c r="S1086" t="n">
        <v>2</v>
      </c>
      <c r="T1086" t="n">
        <v>2</v>
      </c>
      <c r="U1086" t="inlineStr">
        <is>
          <t>1997-11-23</t>
        </is>
      </c>
      <c r="V1086" t="inlineStr">
        <is>
          <t>1997-11-23</t>
        </is>
      </c>
      <c r="W1086" t="inlineStr">
        <is>
          <t>1997-06-13</t>
        </is>
      </c>
      <c r="X1086" t="inlineStr">
        <is>
          <t>1997-06-13</t>
        </is>
      </c>
      <c r="Y1086" t="n">
        <v>459</v>
      </c>
      <c r="Z1086" t="n">
        <v>377</v>
      </c>
      <c r="AA1086" t="n">
        <v>474</v>
      </c>
      <c r="AB1086" t="n">
        <v>2</v>
      </c>
      <c r="AC1086" t="n">
        <v>3</v>
      </c>
      <c r="AD1086" t="n">
        <v>16</v>
      </c>
      <c r="AE1086" t="n">
        <v>23</v>
      </c>
      <c r="AF1086" t="n">
        <v>5</v>
      </c>
      <c r="AG1086" t="n">
        <v>8</v>
      </c>
      <c r="AH1086" t="n">
        <v>4</v>
      </c>
      <c r="AI1086" t="n">
        <v>7</v>
      </c>
      <c r="AJ1086" t="n">
        <v>10</v>
      </c>
      <c r="AK1086" t="n">
        <v>13</v>
      </c>
      <c r="AL1086" t="n">
        <v>1</v>
      </c>
      <c r="AM1086" t="n">
        <v>2</v>
      </c>
      <c r="AN1086" t="n">
        <v>0</v>
      </c>
      <c r="AO1086" t="n">
        <v>0</v>
      </c>
      <c r="AP1086" t="inlineStr">
        <is>
          <t>No</t>
        </is>
      </c>
      <c r="AQ1086" t="inlineStr">
        <is>
          <t>Yes</t>
        </is>
      </c>
      <c r="AR1086">
        <f>HYPERLINK("http://catalog.hathitrust.org/Record/009695202","HathiTrust Record")</f>
        <v/>
      </c>
      <c r="AS1086">
        <f>HYPERLINK("https://creighton-primo.hosted.exlibrisgroup.com/primo-explore/search?tab=default_tab&amp;search_scope=EVERYTHING&amp;vid=01CRU&amp;lang=en_US&amp;offset=0&amp;query=any,contains,991003022669702656","Catalog Record")</f>
        <v/>
      </c>
      <c r="AT1086">
        <f>HYPERLINK("http://www.worldcat.org/oclc/587361","WorldCat Record")</f>
        <v/>
      </c>
      <c r="AU1086" t="inlineStr">
        <is>
          <t>1757254:eng</t>
        </is>
      </c>
      <c r="AV1086" t="inlineStr">
        <is>
          <t>587361</t>
        </is>
      </c>
      <c r="AW1086" t="inlineStr">
        <is>
          <t>991003022669702656</t>
        </is>
      </c>
      <c r="AX1086" t="inlineStr">
        <is>
          <t>991003022669702656</t>
        </is>
      </c>
      <c r="AY1086" t="inlineStr">
        <is>
          <t>2267009750002656</t>
        </is>
      </c>
      <c r="AZ1086" t="inlineStr">
        <is>
          <t>BOOK</t>
        </is>
      </c>
      <c r="BC1086" t="inlineStr">
        <is>
          <t>32285002807286</t>
        </is>
      </c>
      <c r="BD1086" t="inlineStr">
        <is>
          <t>893623063</t>
        </is>
      </c>
    </row>
    <row r="1087">
      <c r="A1087" t="inlineStr">
        <is>
          <t>No</t>
        </is>
      </c>
      <c r="B1087" t="inlineStr">
        <is>
          <t>QD476.2 .S42 2000</t>
        </is>
      </c>
      <c r="C1087" t="inlineStr">
        <is>
          <t>0                      QD 0476200S  42          2000</t>
        </is>
      </c>
      <c r="D1087" t="inlineStr">
        <is>
          <t>Physical biochemistry : principles and applications / David Sheehan.</t>
        </is>
      </c>
      <c r="F1087" t="inlineStr">
        <is>
          <t>No</t>
        </is>
      </c>
      <c r="G1087" t="inlineStr">
        <is>
          <t>1</t>
        </is>
      </c>
      <c r="H1087" t="inlineStr">
        <is>
          <t>No</t>
        </is>
      </c>
      <c r="I1087" t="inlineStr">
        <is>
          <t>No</t>
        </is>
      </c>
      <c r="J1087" t="inlineStr">
        <is>
          <t>0</t>
        </is>
      </c>
      <c r="K1087" t="inlineStr">
        <is>
          <t>Sheehan, David.</t>
        </is>
      </c>
      <c r="L1087" t="inlineStr">
        <is>
          <t>Chichester ; New York : Wiley, c2000.</t>
        </is>
      </c>
      <c r="M1087" t="inlineStr">
        <is>
          <t>2000</t>
        </is>
      </c>
      <c r="O1087" t="inlineStr">
        <is>
          <t>eng</t>
        </is>
      </c>
      <c r="P1087" t="inlineStr">
        <is>
          <t>enk</t>
        </is>
      </c>
      <c r="R1087" t="inlineStr">
        <is>
          <t xml:space="preserve">QD </t>
        </is>
      </c>
      <c r="S1087" t="n">
        <v>9</v>
      </c>
      <c r="T1087" t="n">
        <v>9</v>
      </c>
      <c r="U1087" t="inlineStr">
        <is>
          <t>2007-02-06</t>
        </is>
      </c>
      <c r="V1087" t="inlineStr">
        <is>
          <t>2007-02-06</t>
        </is>
      </c>
      <c r="W1087" t="inlineStr">
        <is>
          <t>2001-04-18</t>
        </is>
      </c>
      <c r="X1087" t="inlineStr">
        <is>
          <t>2001-04-18</t>
        </is>
      </c>
      <c r="Y1087" t="n">
        <v>285</v>
      </c>
      <c r="Z1087" t="n">
        <v>165</v>
      </c>
      <c r="AA1087" t="n">
        <v>289</v>
      </c>
      <c r="AB1087" t="n">
        <v>1</v>
      </c>
      <c r="AC1087" t="n">
        <v>2</v>
      </c>
      <c r="AD1087" t="n">
        <v>6</v>
      </c>
      <c r="AE1087" t="n">
        <v>13</v>
      </c>
      <c r="AF1087" t="n">
        <v>1</v>
      </c>
      <c r="AG1087" t="n">
        <v>5</v>
      </c>
      <c r="AH1087" t="n">
        <v>1</v>
      </c>
      <c r="AI1087" t="n">
        <v>3</v>
      </c>
      <c r="AJ1087" t="n">
        <v>5</v>
      </c>
      <c r="AK1087" t="n">
        <v>7</v>
      </c>
      <c r="AL1087" t="n">
        <v>0</v>
      </c>
      <c r="AM1087" t="n">
        <v>1</v>
      </c>
      <c r="AN1087" t="n">
        <v>0</v>
      </c>
      <c r="AO1087" t="n">
        <v>0</v>
      </c>
      <c r="AP1087" t="inlineStr">
        <is>
          <t>No</t>
        </is>
      </c>
      <c r="AQ1087" t="inlineStr">
        <is>
          <t>Yes</t>
        </is>
      </c>
      <c r="AR1087">
        <f>HYPERLINK("http://catalog.hathitrust.org/Record/003507502","HathiTrust Record")</f>
        <v/>
      </c>
      <c r="AS1087">
        <f>HYPERLINK("https://creighton-primo.hosted.exlibrisgroup.com/primo-explore/search?tab=default_tab&amp;search_scope=EVERYTHING&amp;vid=01CRU&amp;lang=en_US&amp;offset=0&amp;query=any,contains,991003475539702656","Catalog Record")</f>
        <v/>
      </c>
      <c r="AT1087">
        <f>HYPERLINK("http://www.worldcat.org/oclc/43370515","WorldCat Record")</f>
        <v/>
      </c>
      <c r="AU1087" t="inlineStr">
        <is>
          <t>885527:eng</t>
        </is>
      </c>
      <c r="AV1087" t="inlineStr">
        <is>
          <t>43370515</t>
        </is>
      </c>
      <c r="AW1087" t="inlineStr">
        <is>
          <t>991003475539702656</t>
        </is>
      </c>
      <c r="AX1087" t="inlineStr">
        <is>
          <t>991003475539702656</t>
        </is>
      </c>
      <c r="AY1087" t="inlineStr">
        <is>
          <t>2262096960002656</t>
        </is>
      </c>
      <c r="AZ1087" t="inlineStr">
        <is>
          <t>BOOK</t>
        </is>
      </c>
      <c r="BB1087" t="inlineStr">
        <is>
          <t>9780471986621</t>
        </is>
      </c>
      <c r="BC1087" t="inlineStr">
        <is>
          <t>32285004313200</t>
        </is>
      </c>
      <c r="BD1087" t="inlineStr">
        <is>
          <t>893228085</t>
        </is>
      </c>
    </row>
    <row r="1088">
      <c r="A1088" t="inlineStr">
        <is>
          <t>No</t>
        </is>
      </c>
      <c r="B1088" t="inlineStr">
        <is>
          <t>QD477 .F56 1982</t>
        </is>
      </c>
      <c r="C1088" t="inlineStr">
        <is>
          <t>0                      QD 0477000F  56          1982</t>
        </is>
      </c>
      <c r="D1088" t="inlineStr">
        <is>
          <t>A new view of current acid-base theories / Harmon L. Finston and Allen C. Rychtman.</t>
        </is>
      </c>
      <c r="F1088" t="inlineStr">
        <is>
          <t>No</t>
        </is>
      </c>
      <c r="G1088" t="inlineStr">
        <is>
          <t>1</t>
        </is>
      </c>
      <c r="H1088" t="inlineStr">
        <is>
          <t>No</t>
        </is>
      </c>
      <c r="I1088" t="inlineStr">
        <is>
          <t>No</t>
        </is>
      </c>
      <c r="J1088" t="inlineStr">
        <is>
          <t>0</t>
        </is>
      </c>
      <c r="K1088" t="inlineStr">
        <is>
          <t>Finston, H. L.</t>
        </is>
      </c>
      <c r="L1088" t="inlineStr">
        <is>
          <t>New York : Wiley, c1982.</t>
        </is>
      </c>
      <c r="M1088" t="inlineStr">
        <is>
          <t>1982</t>
        </is>
      </c>
      <c r="O1088" t="inlineStr">
        <is>
          <t>eng</t>
        </is>
      </c>
      <c r="P1088" t="inlineStr">
        <is>
          <t>nyu</t>
        </is>
      </c>
      <c r="R1088" t="inlineStr">
        <is>
          <t xml:space="preserve">QD </t>
        </is>
      </c>
      <c r="S1088" t="n">
        <v>3</v>
      </c>
      <c r="T1088" t="n">
        <v>3</v>
      </c>
      <c r="U1088" t="inlineStr">
        <is>
          <t>1995-03-20</t>
        </is>
      </c>
      <c r="V1088" t="inlineStr">
        <is>
          <t>1995-03-20</t>
        </is>
      </c>
      <c r="W1088" t="inlineStr">
        <is>
          <t>1990-08-15</t>
        </is>
      </c>
      <c r="X1088" t="inlineStr">
        <is>
          <t>1990-08-15</t>
        </is>
      </c>
      <c r="Y1088" t="n">
        <v>653</v>
      </c>
      <c r="Z1088" t="n">
        <v>553</v>
      </c>
      <c r="AA1088" t="n">
        <v>563</v>
      </c>
      <c r="AB1088" t="n">
        <v>5</v>
      </c>
      <c r="AC1088" t="n">
        <v>5</v>
      </c>
      <c r="AD1088" t="n">
        <v>28</v>
      </c>
      <c r="AE1088" t="n">
        <v>28</v>
      </c>
      <c r="AF1088" t="n">
        <v>12</v>
      </c>
      <c r="AG1088" t="n">
        <v>12</v>
      </c>
      <c r="AH1088" t="n">
        <v>8</v>
      </c>
      <c r="AI1088" t="n">
        <v>8</v>
      </c>
      <c r="AJ1088" t="n">
        <v>14</v>
      </c>
      <c r="AK1088" t="n">
        <v>14</v>
      </c>
      <c r="AL1088" t="n">
        <v>4</v>
      </c>
      <c r="AM1088" t="n">
        <v>4</v>
      </c>
      <c r="AN1088" t="n">
        <v>0</v>
      </c>
      <c r="AO1088" t="n">
        <v>0</v>
      </c>
      <c r="AP1088" t="inlineStr">
        <is>
          <t>No</t>
        </is>
      </c>
      <c r="AQ1088" t="inlineStr">
        <is>
          <t>Yes</t>
        </is>
      </c>
      <c r="AR1088">
        <f>HYPERLINK("http://catalog.hathitrust.org/Record/000304590","HathiTrust Record")</f>
        <v/>
      </c>
      <c r="AS1088">
        <f>HYPERLINK("https://creighton-primo.hosted.exlibrisgroup.com/primo-explore/search?tab=default_tab&amp;search_scope=EVERYTHING&amp;vid=01CRU&amp;lang=en_US&amp;offset=0&amp;query=any,contains,991005167769702656","Catalog Record")</f>
        <v/>
      </c>
      <c r="AT1088">
        <f>HYPERLINK("http://www.worldcat.org/oclc/7837073","WorldCat Record")</f>
        <v/>
      </c>
      <c r="AU1088" t="inlineStr">
        <is>
          <t>353659870:eng</t>
        </is>
      </c>
      <c r="AV1088" t="inlineStr">
        <is>
          <t>7837073</t>
        </is>
      </c>
      <c r="AW1088" t="inlineStr">
        <is>
          <t>991005167769702656</t>
        </is>
      </c>
      <c r="AX1088" t="inlineStr">
        <is>
          <t>991005167769702656</t>
        </is>
      </c>
      <c r="AY1088" t="inlineStr">
        <is>
          <t>2256778460002656</t>
        </is>
      </c>
      <c r="AZ1088" t="inlineStr">
        <is>
          <t>BOOK</t>
        </is>
      </c>
      <c r="BB1088" t="inlineStr">
        <is>
          <t>9780471084723</t>
        </is>
      </c>
      <c r="BC1088" t="inlineStr">
        <is>
          <t>32285000269034</t>
        </is>
      </c>
      <c r="BD1088" t="inlineStr">
        <is>
          <t>893242313</t>
        </is>
      </c>
    </row>
    <row r="1089">
      <c r="A1089" t="inlineStr">
        <is>
          <t>No</t>
        </is>
      </c>
      <c r="B1089" t="inlineStr">
        <is>
          <t>QD477 .J46</t>
        </is>
      </c>
      <c r="C1089" t="inlineStr">
        <is>
          <t>0                      QD 0477000J  46</t>
        </is>
      </c>
      <c r="D1089" t="inlineStr">
        <is>
          <t>The Lewis acid-base concepts : an overview / William B. Jensen.</t>
        </is>
      </c>
      <c r="F1089" t="inlineStr">
        <is>
          <t>No</t>
        </is>
      </c>
      <c r="G1089" t="inlineStr">
        <is>
          <t>1</t>
        </is>
      </c>
      <c r="H1089" t="inlineStr">
        <is>
          <t>No</t>
        </is>
      </c>
      <c r="I1089" t="inlineStr">
        <is>
          <t>No</t>
        </is>
      </c>
      <c r="J1089" t="inlineStr">
        <is>
          <t>0</t>
        </is>
      </c>
      <c r="K1089" t="inlineStr">
        <is>
          <t>Jensen, William B.</t>
        </is>
      </c>
      <c r="L1089" t="inlineStr">
        <is>
          <t>New York : Wiley, c1980.</t>
        </is>
      </c>
      <c r="M1089" t="inlineStr">
        <is>
          <t>1979</t>
        </is>
      </c>
      <c r="O1089" t="inlineStr">
        <is>
          <t>eng</t>
        </is>
      </c>
      <c r="P1089" t="inlineStr">
        <is>
          <t>nyu</t>
        </is>
      </c>
      <c r="R1089" t="inlineStr">
        <is>
          <t xml:space="preserve">QD </t>
        </is>
      </c>
      <c r="S1089" t="n">
        <v>3</v>
      </c>
      <c r="T1089" t="n">
        <v>3</v>
      </c>
      <c r="U1089" t="inlineStr">
        <is>
          <t>1996-06-23</t>
        </is>
      </c>
      <c r="V1089" t="inlineStr">
        <is>
          <t>1996-06-23</t>
        </is>
      </c>
      <c r="W1089" t="inlineStr">
        <is>
          <t>1990-08-15</t>
        </is>
      </c>
      <c r="X1089" t="inlineStr">
        <is>
          <t>1990-08-15</t>
        </is>
      </c>
      <c r="Y1089" t="n">
        <v>603</v>
      </c>
      <c r="Z1089" t="n">
        <v>508</v>
      </c>
      <c r="AA1089" t="n">
        <v>533</v>
      </c>
      <c r="AB1089" t="n">
        <v>6</v>
      </c>
      <c r="AC1089" t="n">
        <v>6</v>
      </c>
      <c r="AD1089" t="n">
        <v>27</v>
      </c>
      <c r="AE1089" t="n">
        <v>27</v>
      </c>
      <c r="AF1089" t="n">
        <v>13</v>
      </c>
      <c r="AG1089" t="n">
        <v>13</v>
      </c>
      <c r="AH1089" t="n">
        <v>5</v>
      </c>
      <c r="AI1089" t="n">
        <v>5</v>
      </c>
      <c r="AJ1089" t="n">
        <v>10</v>
      </c>
      <c r="AK1089" t="n">
        <v>10</v>
      </c>
      <c r="AL1089" t="n">
        <v>5</v>
      </c>
      <c r="AM1089" t="n">
        <v>5</v>
      </c>
      <c r="AN1089" t="n">
        <v>0</v>
      </c>
      <c r="AO1089" t="n">
        <v>0</v>
      </c>
      <c r="AP1089" t="inlineStr">
        <is>
          <t>No</t>
        </is>
      </c>
      <c r="AQ1089" t="inlineStr">
        <is>
          <t>Yes</t>
        </is>
      </c>
      <c r="AR1089">
        <f>HYPERLINK("http://catalog.hathitrust.org/Record/010105958","HathiTrust Record")</f>
        <v/>
      </c>
      <c r="AS1089">
        <f>HYPERLINK("https://creighton-primo.hosted.exlibrisgroup.com/primo-explore/search?tab=default_tab&amp;search_scope=EVERYTHING&amp;vid=01CRU&amp;lang=en_US&amp;offset=0&amp;query=any,contains,991004776989702656","Catalog Record")</f>
        <v/>
      </c>
      <c r="AT1089">
        <f>HYPERLINK("http://www.worldcat.org/oclc/5101508","WorldCat Record")</f>
        <v/>
      </c>
      <c r="AU1089" t="inlineStr">
        <is>
          <t>488615:eng</t>
        </is>
      </c>
      <c r="AV1089" t="inlineStr">
        <is>
          <t>5101508</t>
        </is>
      </c>
      <c r="AW1089" t="inlineStr">
        <is>
          <t>991004776989702656</t>
        </is>
      </c>
      <c r="AX1089" t="inlineStr">
        <is>
          <t>991004776989702656</t>
        </is>
      </c>
      <c r="AY1089" t="inlineStr">
        <is>
          <t>2258998860002656</t>
        </is>
      </c>
      <c r="AZ1089" t="inlineStr">
        <is>
          <t>BOOK</t>
        </is>
      </c>
      <c r="BB1089" t="inlineStr">
        <is>
          <t>9780471039020</t>
        </is>
      </c>
      <c r="BC1089" t="inlineStr">
        <is>
          <t>32285000269042</t>
        </is>
      </c>
      <c r="BD1089" t="inlineStr">
        <is>
          <t>893500947</t>
        </is>
      </c>
    </row>
    <row r="1090">
      <c r="A1090" t="inlineStr">
        <is>
          <t>No</t>
        </is>
      </c>
      <c r="B1090" t="inlineStr">
        <is>
          <t>QD477 .L8 1961</t>
        </is>
      </c>
      <c r="C1090" t="inlineStr">
        <is>
          <t>0                      QD 0477000L  8           1961</t>
        </is>
      </c>
      <c r="D1090" t="inlineStr">
        <is>
          <t>The electronic theory of acids and bases, by W.F. Luder and Saverio Zuffanti.</t>
        </is>
      </c>
      <c r="F1090" t="inlineStr">
        <is>
          <t>No</t>
        </is>
      </c>
      <c r="G1090" t="inlineStr">
        <is>
          <t>1</t>
        </is>
      </c>
      <c r="H1090" t="inlineStr">
        <is>
          <t>No</t>
        </is>
      </c>
      <c r="I1090" t="inlineStr">
        <is>
          <t>No</t>
        </is>
      </c>
      <c r="J1090" t="inlineStr">
        <is>
          <t>0</t>
        </is>
      </c>
      <c r="K1090" t="inlineStr">
        <is>
          <t>Luder, W. F. (William Fay), 1910-</t>
        </is>
      </c>
      <c r="L1090" t="inlineStr">
        <is>
          <t>New York Dover Publications [1961]</t>
        </is>
      </c>
      <c r="M1090" t="inlineStr">
        <is>
          <t>1961</t>
        </is>
      </c>
      <c r="N1090" t="inlineStr">
        <is>
          <t>2nd rev. ed.</t>
        </is>
      </c>
      <c r="O1090" t="inlineStr">
        <is>
          <t>eng</t>
        </is>
      </c>
      <c r="P1090" t="inlineStr">
        <is>
          <t>nyu</t>
        </is>
      </c>
      <c r="R1090" t="inlineStr">
        <is>
          <t xml:space="preserve">QD </t>
        </is>
      </c>
      <c r="S1090" t="n">
        <v>4</v>
      </c>
      <c r="T1090" t="n">
        <v>4</v>
      </c>
      <c r="U1090" t="inlineStr">
        <is>
          <t>1999-05-25</t>
        </is>
      </c>
      <c r="V1090" t="inlineStr">
        <is>
          <t>1999-05-25</t>
        </is>
      </c>
      <c r="W1090" t="inlineStr">
        <is>
          <t>1992-04-23</t>
        </is>
      </c>
      <c r="X1090" t="inlineStr">
        <is>
          <t>1992-04-23</t>
        </is>
      </c>
      <c r="Y1090" t="n">
        <v>325</v>
      </c>
      <c r="Z1090" t="n">
        <v>286</v>
      </c>
      <c r="AA1090" t="n">
        <v>554</v>
      </c>
      <c r="AB1090" t="n">
        <v>4</v>
      </c>
      <c r="AC1090" t="n">
        <v>5</v>
      </c>
      <c r="AD1090" t="n">
        <v>10</v>
      </c>
      <c r="AE1090" t="n">
        <v>28</v>
      </c>
      <c r="AF1090" t="n">
        <v>1</v>
      </c>
      <c r="AG1090" t="n">
        <v>9</v>
      </c>
      <c r="AH1090" t="n">
        <v>2</v>
      </c>
      <c r="AI1090" t="n">
        <v>5</v>
      </c>
      <c r="AJ1090" t="n">
        <v>6</v>
      </c>
      <c r="AK1090" t="n">
        <v>16</v>
      </c>
      <c r="AL1090" t="n">
        <v>3</v>
      </c>
      <c r="AM1090" t="n">
        <v>4</v>
      </c>
      <c r="AN1090" t="n">
        <v>0</v>
      </c>
      <c r="AO1090" t="n">
        <v>0</v>
      </c>
      <c r="AP1090" t="inlineStr">
        <is>
          <t>No</t>
        </is>
      </c>
      <c r="AQ1090" t="inlineStr">
        <is>
          <t>No</t>
        </is>
      </c>
      <c r="AS1090">
        <f>HYPERLINK("https://creighton-primo.hosted.exlibrisgroup.com/primo-explore/search?tab=default_tab&amp;search_scope=EVERYTHING&amp;vid=01CRU&amp;lang=en_US&amp;offset=0&amp;query=any,contains,991003217919702656","Catalog Record")</f>
        <v/>
      </c>
      <c r="AT1090">
        <f>HYPERLINK("http://www.worldcat.org/oclc/743878","WorldCat Record")</f>
        <v/>
      </c>
      <c r="AU1090" t="inlineStr">
        <is>
          <t>9415710040:eng</t>
        </is>
      </c>
      <c r="AV1090" t="inlineStr">
        <is>
          <t>743878</t>
        </is>
      </c>
      <c r="AW1090" t="inlineStr">
        <is>
          <t>991003217919702656</t>
        </is>
      </c>
      <c r="AX1090" t="inlineStr">
        <is>
          <t>991003217919702656</t>
        </is>
      </c>
      <c r="AY1090" t="inlineStr">
        <is>
          <t>2267463630002656</t>
        </is>
      </c>
      <c r="AZ1090" t="inlineStr">
        <is>
          <t>BOOK</t>
        </is>
      </c>
      <c r="BC1090" t="inlineStr">
        <is>
          <t>32285001054344</t>
        </is>
      </c>
      <c r="BD1090" t="inlineStr">
        <is>
          <t>893323882</t>
        </is>
      </c>
    </row>
    <row r="1091">
      <c r="A1091" t="inlineStr">
        <is>
          <t>No</t>
        </is>
      </c>
      <c r="B1091" t="inlineStr">
        <is>
          <t>QD478 .D36 2002</t>
        </is>
      </c>
      <c r="C1091" t="inlineStr">
        <is>
          <t>0                      QD 0478000D  36          2002</t>
        </is>
      </c>
      <c r="D1091" t="inlineStr">
        <is>
          <t>Reactions and characterization of solids / Sandra E. Dann.</t>
        </is>
      </c>
      <c r="F1091" t="inlineStr">
        <is>
          <t>No</t>
        </is>
      </c>
      <c r="G1091" t="inlineStr">
        <is>
          <t>1</t>
        </is>
      </c>
      <c r="H1091" t="inlineStr">
        <is>
          <t>No</t>
        </is>
      </c>
      <c r="I1091" t="inlineStr">
        <is>
          <t>No</t>
        </is>
      </c>
      <c r="J1091" t="inlineStr">
        <is>
          <t>0</t>
        </is>
      </c>
      <c r="K1091" t="inlineStr">
        <is>
          <t>Dann, Sandra E.</t>
        </is>
      </c>
      <c r="L1091" t="inlineStr">
        <is>
          <t>New York : Wiley-Interscience, c2002.</t>
        </is>
      </c>
      <c r="M1091" t="inlineStr">
        <is>
          <t>2002</t>
        </is>
      </c>
      <c r="O1091" t="inlineStr">
        <is>
          <t>eng</t>
        </is>
      </c>
      <c r="P1091" t="inlineStr">
        <is>
          <t>nyu</t>
        </is>
      </c>
      <c r="Q1091" t="inlineStr">
        <is>
          <t>Basic concepts in chemistry</t>
        </is>
      </c>
      <c r="R1091" t="inlineStr">
        <is>
          <t xml:space="preserve">QD </t>
        </is>
      </c>
      <c r="S1091" t="n">
        <v>7</v>
      </c>
      <c r="T1091" t="n">
        <v>7</v>
      </c>
      <c r="U1091" t="inlineStr">
        <is>
          <t>2007-02-06</t>
        </is>
      </c>
      <c r="V1091" t="inlineStr">
        <is>
          <t>2007-02-06</t>
        </is>
      </c>
      <c r="W1091" t="inlineStr">
        <is>
          <t>2003-11-17</t>
        </is>
      </c>
      <c r="X1091" t="inlineStr">
        <is>
          <t>2003-11-17</t>
        </is>
      </c>
      <c r="Y1091" t="n">
        <v>153</v>
      </c>
      <c r="Z1091" t="n">
        <v>124</v>
      </c>
      <c r="AA1091" t="n">
        <v>213</v>
      </c>
      <c r="AB1091" t="n">
        <v>1</v>
      </c>
      <c r="AC1091" t="n">
        <v>2</v>
      </c>
      <c r="AD1091" t="n">
        <v>7</v>
      </c>
      <c r="AE1091" t="n">
        <v>11</v>
      </c>
      <c r="AF1091" t="n">
        <v>3</v>
      </c>
      <c r="AG1091" t="n">
        <v>3</v>
      </c>
      <c r="AH1091" t="n">
        <v>2</v>
      </c>
      <c r="AI1091" t="n">
        <v>3</v>
      </c>
      <c r="AJ1091" t="n">
        <v>4</v>
      </c>
      <c r="AK1091" t="n">
        <v>7</v>
      </c>
      <c r="AL1091" t="n">
        <v>0</v>
      </c>
      <c r="AM1091" t="n">
        <v>1</v>
      </c>
      <c r="AN1091" t="n">
        <v>0</v>
      </c>
      <c r="AO1091" t="n">
        <v>0</v>
      </c>
      <c r="AP1091" t="inlineStr">
        <is>
          <t>No</t>
        </is>
      </c>
      <c r="AQ1091" t="inlineStr">
        <is>
          <t>No</t>
        </is>
      </c>
      <c r="AS1091">
        <f>HYPERLINK("https://creighton-primo.hosted.exlibrisgroup.com/primo-explore/search?tab=default_tab&amp;search_scope=EVERYTHING&amp;vid=01CRU&amp;lang=en_US&amp;offset=0&amp;query=any,contains,991004183039702656","Catalog Record")</f>
        <v/>
      </c>
      <c r="AT1091">
        <f>HYPERLINK("http://www.worldcat.org/oclc/50568057","WorldCat Record")</f>
        <v/>
      </c>
      <c r="AU1091" t="inlineStr">
        <is>
          <t>1018846:eng</t>
        </is>
      </c>
      <c r="AV1091" t="inlineStr">
        <is>
          <t>50568057</t>
        </is>
      </c>
      <c r="AW1091" t="inlineStr">
        <is>
          <t>991004183039702656</t>
        </is>
      </c>
      <c r="AX1091" t="inlineStr">
        <is>
          <t>991004183039702656</t>
        </is>
      </c>
      <c r="AY1091" t="inlineStr">
        <is>
          <t>2256510670002656</t>
        </is>
      </c>
      <c r="AZ1091" t="inlineStr">
        <is>
          <t>BOOK</t>
        </is>
      </c>
      <c r="BB1091" t="inlineStr">
        <is>
          <t>9780471224815</t>
        </is>
      </c>
      <c r="BC1091" t="inlineStr">
        <is>
          <t>32285004798871</t>
        </is>
      </c>
      <c r="BD1091" t="inlineStr">
        <is>
          <t>893318899</t>
        </is>
      </c>
    </row>
    <row r="1092">
      <c r="A1092" t="inlineStr">
        <is>
          <t>No</t>
        </is>
      </c>
      <c r="B1092" t="inlineStr">
        <is>
          <t>QD478 .S53 2005</t>
        </is>
      </c>
      <c r="C1092" t="inlineStr">
        <is>
          <t>0                      QD 0478000S  53          2005</t>
        </is>
      </c>
      <c r="D1092" t="inlineStr">
        <is>
          <t>Solid state chemistry : an introduction / Lesley E. Smart and Elaine A. Moore.</t>
        </is>
      </c>
      <c r="F1092" t="inlineStr">
        <is>
          <t>No</t>
        </is>
      </c>
      <c r="G1092" t="inlineStr">
        <is>
          <t>1</t>
        </is>
      </c>
      <c r="H1092" t="inlineStr">
        <is>
          <t>No</t>
        </is>
      </c>
      <c r="I1092" t="inlineStr">
        <is>
          <t>No</t>
        </is>
      </c>
      <c r="J1092" t="inlineStr">
        <is>
          <t>0</t>
        </is>
      </c>
      <c r="K1092" t="inlineStr">
        <is>
          <t>Smart, Lesley.</t>
        </is>
      </c>
      <c r="L1092" t="inlineStr">
        <is>
          <t>Boca Raton : CRC Press, c2005.</t>
        </is>
      </c>
      <c r="M1092" t="inlineStr">
        <is>
          <t>2005</t>
        </is>
      </c>
      <c r="N1092" t="inlineStr">
        <is>
          <t>3rd ed.</t>
        </is>
      </c>
      <c r="O1092" t="inlineStr">
        <is>
          <t>eng</t>
        </is>
      </c>
      <c r="P1092" t="inlineStr">
        <is>
          <t>flu</t>
        </is>
      </c>
      <c r="R1092" t="inlineStr">
        <is>
          <t xml:space="preserve">QD </t>
        </is>
      </c>
      <c r="S1092" t="n">
        <v>1</v>
      </c>
      <c r="T1092" t="n">
        <v>1</v>
      </c>
      <c r="U1092" t="inlineStr">
        <is>
          <t>2007-02-14</t>
        </is>
      </c>
      <c r="V1092" t="inlineStr">
        <is>
          <t>2007-02-14</t>
        </is>
      </c>
      <c r="W1092" t="inlineStr">
        <is>
          <t>2007-02-14</t>
        </is>
      </c>
      <c r="X1092" t="inlineStr">
        <is>
          <t>2007-02-14</t>
        </is>
      </c>
      <c r="Y1092" t="n">
        <v>522</v>
      </c>
      <c r="Z1092" t="n">
        <v>414</v>
      </c>
      <c r="AA1092" t="n">
        <v>626</v>
      </c>
      <c r="AB1092" t="n">
        <v>5</v>
      </c>
      <c r="AC1092" t="n">
        <v>5</v>
      </c>
      <c r="AD1092" t="n">
        <v>18</v>
      </c>
      <c r="AE1092" t="n">
        <v>27</v>
      </c>
      <c r="AF1092" t="n">
        <v>5</v>
      </c>
      <c r="AG1092" t="n">
        <v>12</v>
      </c>
      <c r="AH1092" t="n">
        <v>3</v>
      </c>
      <c r="AI1092" t="n">
        <v>4</v>
      </c>
      <c r="AJ1092" t="n">
        <v>9</v>
      </c>
      <c r="AK1092" t="n">
        <v>16</v>
      </c>
      <c r="AL1092" t="n">
        <v>4</v>
      </c>
      <c r="AM1092" t="n">
        <v>4</v>
      </c>
      <c r="AN1092" t="n">
        <v>0</v>
      </c>
      <c r="AO1092" t="n">
        <v>0</v>
      </c>
      <c r="AP1092" t="inlineStr">
        <is>
          <t>No</t>
        </is>
      </c>
      <c r="AQ1092" t="inlineStr">
        <is>
          <t>No</t>
        </is>
      </c>
      <c r="AS1092">
        <f>HYPERLINK("https://creighton-primo.hosted.exlibrisgroup.com/primo-explore/search?tab=default_tab&amp;search_scope=EVERYTHING&amp;vid=01CRU&amp;lang=en_US&amp;offset=0&amp;query=any,contains,991005027379702656","Catalog Record")</f>
        <v/>
      </c>
      <c r="AT1092">
        <f>HYPERLINK("http://www.worldcat.org/oclc/56661923","WorldCat Record")</f>
        <v/>
      </c>
      <c r="AU1092" t="inlineStr">
        <is>
          <t>45184779:eng</t>
        </is>
      </c>
      <c r="AV1092" t="inlineStr">
        <is>
          <t>56661923</t>
        </is>
      </c>
      <c r="AW1092" t="inlineStr">
        <is>
          <t>991005027379702656</t>
        </is>
      </c>
      <c r="AX1092" t="inlineStr">
        <is>
          <t>991005027379702656</t>
        </is>
      </c>
      <c r="AY1092" t="inlineStr">
        <is>
          <t>2259458580002656</t>
        </is>
      </c>
      <c r="AZ1092" t="inlineStr">
        <is>
          <t>BOOK</t>
        </is>
      </c>
      <c r="BB1092" t="inlineStr">
        <is>
          <t>9780748775163</t>
        </is>
      </c>
      <c r="BC1092" t="inlineStr">
        <is>
          <t>32285005276901</t>
        </is>
      </c>
      <c r="BD1092" t="inlineStr">
        <is>
          <t>893795512</t>
        </is>
      </c>
    </row>
    <row r="1093">
      <c r="A1093" t="inlineStr">
        <is>
          <t>No</t>
        </is>
      </c>
      <c r="B1093" t="inlineStr">
        <is>
          <t>QD480 .H58 2003</t>
        </is>
      </c>
      <c r="C1093" t="inlineStr">
        <is>
          <t>0                      QD 0480000H  58          2003</t>
        </is>
      </c>
      <c r="D1093" t="inlineStr">
        <is>
          <t>Molecular modelling for beginners / Alan Hinchliffe.</t>
        </is>
      </c>
      <c r="F1093" t="inlineStr">
        <is>
          <t>No</t>
        </is>
      </c>
      <c r="G1093" t="inlineStr">
        <is>
          <t>1</t>
        </is>
      </c>
      <c r="H1093" t="inlineStr">
        <is>
          <t>No</t>
        </is>
      </c>
      <c r="I1093" t="inlineStr">
        <is>
          <t>No</t>
        </is>
      </c>
      <c r="J1093" t="inlineStr">
        <is>
          <t>0</t>
        </is>
      </c>
      <c r="K1093" t="inlineStr">
        <is>
          <t>Hinchliffe, Alan.</t>
        </is>
      </c>
      <c r="L1093" t="inlineStr">
        <is>
          <t>Chichester, West Sussex, England ; Hoboken, NJ : Wiley, c2003.</t>
        </is>
      </c>
      <c r="M1093" t="inlineStr">
        <is>
          <t>2003</t>
        </is>
      </c>
      <c r="O1093" t="inlineStr">
        <is>
          <t>eng</t>
        </is>
      </c>
      <c r="P1093" t="inlineStr">
        <is>
          <t>enk</t>
        </is>
      </c>
      <c r="R1093" t="inlineStr">
        <is>
          <t xml:space="preserve">QD </t>
        </is>
      </c>
      <c r="S1093" t="n">
        <v>5</v>
      </c>
      <c r="T1093" t="n">
        <v>5</v>
      </c>
      <c r="U1093" t="inlineStr">
        <is>
          <t>2008-08-08</t>
        </is>
      </c>
      <c r="V1093" t="inlineStr">
        <is>
          <t>2008-08-08</t>
        </is>
      </c>
      <c r="W1093" t="inlineStr">
        <is>
          <t>2004-06-27</t>
        </is>
      </c>
      <c r="X1093" t="inlineStr">
        <is>
          <t>2004-06-27</t>
        </is>
      </c>
      <c r="Y1093" t="n">
        <v>497</v>
      </c>
      <c r="Z1093" t="n">
        <v>339</v>
      </c>
      <c r="AA1093" t="n">
        <v>452</v>
      </c>
      <c r="AB1093" t="n">
        <v>3</v>
      </c>
      <c r="AC1093" t="n">
        <v>3</v>
      </c>
      <c r="AD1093" t="n">
        <v>20</v>
      </c>
      <c r="AE1093" t="n">
        <v>27</v>
      </c>
      <c r="AF1093" t="n">
        <v>8</v>
      </c>
      <c r="AG1093" t="n">
        <v>13</v>
      </c>
      <c r="AH1093" t="n">
        <v>5</v>
      </c>
      <c r="AI1093" t="n">
        <v>6</v>
      </c>
      <c r="AJ1093" t="n">
        <v>11</v>
      </c>
      <c r="AK1093" t="n">
        <v>15</v>
      </c>
      <c r="AL1093" t="n">
        <v>2</v>
      </c>
      <c r="AM1093" t="n">
        <v>2</v>
      </c>
      <c r="AN1093" t="n">
        <v>0</v>
      </c>
      <c r="AO1093" t="n">
        <v>0</v>
      </c>
      <c r="AP1093" t="inlineStr">
        <is>
          <t>No</t>
        </is>
      </c>
      <c r="AQ1093" t="inlineStr">
        <is>
          <t>No</t>
        </is>
      </c>
      <c r="AS1093">
        <f>HYPERLINK("https://creighton-primo.hosted.exlibrisgroup.com/primo-explore/search?tab=default_tab&amp;search_scope=EVERYTHING&amp;vid=01CRU&amp;lang=en_US&amp;offset=0&amp;query=any,contains,991004309239702656","Catalog Record")</f>
        <v/>
      </c>
      <c r="AT1093">
        <f>HYPERLINK("http://www.worldcat.org/oclc/52766128","WorldCat Record")</f>
        <v/>
      </c>
      <c r="AU1093" t="inlineStr">
        <is>
          <t>702549:eng</t>
        </is>
      </c>
      <c r="AV1093" t="inlineStr">
        <is>
          <t>52766128</t>
        </is>
      </c>
      <c r="AW1093" t="inlineStr">
        <is>
          <t>991004309239702656</t>
        </is>
      </c>
      <c r="AX1093" t="inlineStr">
        <is>
          <t>991004309239702656</t>
        </is>
      </c>
      <c r="AY1093" t="inlineStr">
        <is>
          <t>2263968630002656</t>
        </is>
      </c>
      <c r="AZ1093" t="inlineStr">
        <is>
          <t>BOOK</t>
        </is>
      </c>
      <c r="BB1093" t="inlineStr">
        <is>
          <t>9780470843093</t>
        </is>
      </c>
      <c r="BC1093" t="inlineStr">
        <is>
          <t>32285004921465</t>
        </is>
      </c>
      <c r="BD1093" t="inlineStr">
        <is>
          <t>893882322</t>
        </is>
      </c>
    </row>
    <row r="1094">
      <c r="A1094" t="inlineStr">
        <is>
          <t>No</t>
        </is>
      </c>
      <c r="B1094" t="inlineStr">
        <is>
          <t>QD481 .E515 2001</t>
        </is>
      </c>
      <c r="C1094" t="inlineStr">
        <is>
          <t>0                      QD 0481000E  515         2001</t>
        </is>
      </c>
      <c r="D1094" t="inlineStr">
        <is>
          <t>Basic organic stereochemistry / Ernest L. Eliel, Samuel H. Wilen, Michael P. Doyle.</t>
        </is>
      </c>
      <c r="F1094" t="inlineStr">
        <is>
          <t>No</t>
        </is>
      </c>
      <c r="G1094" t="inlineStr">
        <is>
          <t>1</t>
        </is>
      </c>
      <c r="H1094" t="inlineStr">
        <is>
          <t>No</t>
        </is>
      </c>
      <c r="I1094" t="inlineStr">
        <is>
          <t>No</t>
        </is>
      </c>
      <c r="J1094" t="inlineStr">
        <is>
          <t>0</t>
        </is>
      </c>
      <c r="K1094" t="inlineStr">
        <is>
          <t>Eliel, Ernest L. (Ernest Ludwig), 1921-2008.</t>
        </is>
      </c>
      <c r="L1094" t="inlineStr">
        <is>
          <t>New York : Wiley-Interscience, c2001.</t>
        </is>
      </c>
      <c r="M1094" t="inlineStr">
        <is>
          <t>2001</t>
        </is>
      </c>
      <c r="O1094" t="inlineStr">
        <is>
          <t>eng</t>
        </is>
      </c>
      <c r="P1094" t="inlineStr">
        <is>
          <t>nyu</t>
        </is>
      </c>
      <c r="R1094" t="inlineStr">
        <is>
          <t xml:space="preserve">QD </t>
        </is>
      </c>
      <c r="S1094" t="n">
        <v>1</v>
      </c>
      <c r="T1094" t="n">
        <v>1</v>
      </c>
      <c r="U1094" t="inlineStr">
        <is>
          <t>2002-04-17</t>
        </is>
      </c>
      <c r="V1094" t="inlineStr">
        <is>
          <t>2002-04-17</t>
        </is>
      </c>
      <c r="W1094" t="inlineStr">
        <is>
          <t>2002-04-02</t>
        </is>
      </c>
      <c r="X1094" t="inlineStr">
        <is>
          <t>2002-04-02</t>
        </is>
      </c>
      <c r="Y1094" t="n">
        <v>423</v>
      </c>
      <c r="Z1094" t="n">
        <v>297</v>
      </c>
      <c r="AA1094" t="n">
        <v>298</v>
      </c>
      <c r="AB1094" t="n">
        <v>2</v>
      </c>
      <c r="AC1094" t="n">
        <v>2</v>
      </c>
      <c r="AD1094" t="n">
        <v>19</v>
      </c>
      <c r="AE1094" t="n">
        <v>19</v>
      </c>
      <c r="AF1094" t="n">
        <v>6</v>
      </c>
      <c r="AG1094" t="n">
        <v>6</v>
      </c>
      <c r="AH1094" t="n">
        <v>4</v>
      </c>
      <c r="AI1094" t="n">
        <v>4</v>
      </c>
      <c r="AJ1094" t="n">
        <v>11</v>
      </c>
      <c r="AK1094" t="n">
        <v>11</v>
      </c>
      <c r="AL1094" t="n">
        <v>1</v>
      </c>
      <c r="AM1094" t="n">
        <v>1</v>
      </c>
      <c r="AN1094" t="n">
        <v>0</v>
      </c>
      <c r="AO1094" t="n">
        <v>0</v>
      </c>
      <c r="AP1094" t="inlineStr">
        <is>
          <t>No</t>
        </is>
      </c>
      <c r="AQ1094" t="inlineStr">
        <is>
          <t>Yes</t>
        </is>
      </c>
      <c r="AR1094">
        <f>HYPERLINK("http://catalog.hathitrust.org/Record/004220478","HathiTrust Record")</f>
        <v/>
      </c>
      <c r="AS1094">
        <f>HYPERLINK("https://creighton-primo.hosted.exlibrisgroup.com/primo-explore/search?tab=default_tab&amp;search_scope=EVERYTHING&amp;vid=01CRU&amp;lang=en_US&amp;offset=0&amp;query=any,contains,991003782769702656","Catalog Record")</f>
        <v/>
      </c>
      <c r="AT1094">
        <f>HYPERLINK("http://www.worldcat.org/oclc/45962909","WorldCat Record")</f>
        <v/>
      </c>
      <c r="AU1094" t="inlineStr">
        <is>
          <t>475241189:eng</t>
        </is>
      </c>
      <c r="AV1094" t="inlineStr">
        <is>
          <t>45962909</t>
        </is>
      </c>
      <c r="AW1094" t="inlineStr">
        <is>
          <t>991003782769702656</t>
        </is>
      </c>
      <c r="AX1094" t="inlineStr">
        <is>
          <t>991003782769702656</t>
        </is>
      </c>
      <c r="AY1094" t="inlineStr">
        <is>
          <t>2259523270002656</t>
        </is>
      </c>
      <c r="AZ1094" t="inlineStr">
        <is>
          <t>BOOK</t>
        </is>
      </c>
      <c r="BB1094" t="inlineStr">
        <is>
          <t>9780471374992</t>
        </is>
      </c>
      <c r="BC1094" t="inlineStr">
        <is>
          <t>32285004476387</t>
        </is>
      </c>
      <c r="BD1094" t="inlineStr">
        <is>
          <t>893693154</t>
        </is>
      </c>
    </row>
    <row r="1095">
      <c r="A1095" t="inlineStr">
        <is>
          <t>No</t>
        </is>
      </c>
      <c r="B1095" t="inlineStr">
        <is>
          <t>QD481 .E517</t>
        </is>
      </c>
      <c r="C1095" t="inlineStr">
        <is>
          <t>0                      QD 0481000E  517</t>
        </is>
      </c>
      <c r="D1095" t="inlineStr">
        <is>
          <t>Conformational analysis [by] Ernest L. Eliel [and others].</t>
        </is>
      </c>
      <c r="F1095" t="inlineStr">
        <is>
          <t>No</t>
        </is>
      </c>
      <c r="G1095" t="inlineStr">
        <is>
          <t>1</t>
        </is>
      </c>
      <c r="H1095" t="inlineStr">
        <is>
          <t>No</t>
        </is>
      </c>
      <c r="I1095" t="inlineStr">
        <is>
          <t>No</t>
        </is>
      </c>
      <c r="J1095" t="inlineStr">
        <is>
          <t>0</t>
        </is>
      </c>
      <c r="K1095" t="inlineStr">
        <is>
          <t>Eliel, Ernest L. (Ernest Ludwig), 1921-2008.</t>
        </is>
      </c>
      <c r="L1095" t="inlineStr">
        <is>
          <t>New York, Interscience Publishers [1965]</t>
        </is>
      </c>
      <c r="M1095" t="inlineStr">
        <is>
          <t>1965</t>
        </is>
      </c>
      <c r="O1095" t="inlineStr">
        <is>
          <t>eng</t>
        </is>
      </c>
      <c r="P1095" t="inlineStr">
        <is>
          <t>nyu</t>
        </is>
      </c>
      <c r="R1095" t="inlineStr">
        <is>
          <t xml:space="preserve">QD </t>
        </is>
      </c>
      <c r="S1095" t="n">
        <v>3</v>
      </c>
      <c r="T1095" t="n">
        <v>3</v>
      </c>
      <c r="U1095" t="inlineStr">
        <is>
          <t>1997-11-30</t>
        </is>
      </c>
      <c r="V1095" t="inlineStr">
        <is>
          <t>1997-11-30</t>
        </is>
      </c>
      <c r="W1095" t="inlineStr">
        <is>
          <t>1997-06-13</t>
        </is>
      </c>
      <c r="X1095" t="inlineStr">
        <is>
          <t>1997-06-13</t>
        </is>
      </c>
      <c r="Y1095" t="n">
        <v>709</v>
      </c>
      <c r="Z1095" t="n">
        <v>553</v>
      </c>
      <c r="AA1095" t="n">
        <v>606</v>
      </c>
      <c r="AB1095" t="n">
        <v>6</v>
      </c>
      <c r="AC1095" t="n">
        <v>7</v>
      </c>
      <c r="AD1095" t="n">
        <v>26</v>
      </c>
      <c r="AE1095" t="n">
        <v>29</v>
      </c>
      <c r="AF1095" t="n">
        <v>8</v>
      </c>
      <c r="AG1095" t="n">
        <v>10</v>
      </c>
      <c r="AH1095" t="n">
        <v>6</v>
      </c>
      <c r="AI1095" t="n">
        <v>6</v>
      </c>
      <c r="AJ1095" t="n">
        <v>11</v>
      </c>
      <c r="AK1095" t="n">
        <v>13</v>
      </c>
      <c r="AL1095" t="n">
        <v>5</v>
      </c>
      <c r="AM1095" t="n">
        <v>6</v>
      </c>
      <c r="AN1095" t="n">
        <v>0</v>
      </c>
      <c r="AO1095" t="n">
        <v>0</v>
      </c>
      <c r="AP1095" t="inlineStr">
        <is>
          <t>No</t>
        </is>
      </c>
      <c r="AQ1095" t="inlineStr">
        <is>
          <t>Yes</t>
        </is>
      </c>
      <c r="AR1095">
        <f>HYPERLINK("http://catalog.hathitrust.org/Record/001034655","HathiTrust Record")</f>
        <v/>
      </c>
      <c r="AS1095">
        <f>HYPERLINK("https://creighton-primo.hosted.exlibrisgroup.com/primo-explore/search?tab=default_tab&amp;search_scope=EVERYTHING&amp;vid=01CRU&amp;lang=en_US&amp;offset=0&amp;query=any,contains,991002960229702656","Catalog Record")</f>
        <v/>
      </c>
      <c r="AT1095">
        <f>HYPERLINK("http://www.worldcat.org/oclc/543694","WorldCat Record")</f>
        <v/>
      </c>
      <c r="AU1095" t="inlineStr">
        <is>
          <t>1039131444:eng</t>
        </is>
      </c>
      <c r="AV1095" t="inlineStr">
        <is>
          <t>543694</t>
        </is>
      </c>
      <c r="AW1095" t="inlineStr">
        <is>
          <t>991002960229702656</t>
        </is>
      </c>
      <c r="AX1095" t="inlineStr">
        <is>
          <t>991002960229702656</t>
        </is>
      </c>
      <c r="AY1095" t="inlineStr">
        <is>
          <t>2265398630002656</t>
        </is>
      </c>
      <c r="AZ1095" t="inlineStr">
        <is>
          <t>BOOK</t>
        </is>
      </c>
      <c r="BC1095" t="inlineStr">
        <is>
          <t>32285002807351</t>
        </is>
      </c>
      <c r="BD1095" t="inlineStr">
        <is>
          <t>893805265</t>
        </is>
      </c>
    </row>
    <row r="1096">
      <c r="A1096" t="inlineStr">
        <is>
          <t>No</t>
        </is>
      </c>
      <c r="B1096" t="inlineStr">
        <is>
          <t>QD481 .E525 1994</t>
        </is>
      </c>
      <c r="C1096" t="inlineStr">
        <is>
          <t>0                      QD 0481000E  525         1994</t>
        </is>
      </c>
      <c r="D1096" t="inlineStr">
        <is>
          <t>Stereochemistry of organic compounds / Ernest L. Eliel, Samuel H. Wilen ; with a chapter on stereoselective synthesis by Lewis N. Mander.</t>
        </is>
      </c>
      <c r="F1096" t="inlineStr">
        <is>
          <t>No</t>
        </is>
      </c>
      <c r="G1096" t="inlineStr">
        <is>
          <t>1</t>
        </is>
      </c>
      <c r="H1096" t="inlineStr">
        <is>
          <t>No</t>
        </is>
      </c>
      <c r="I1096" t="inlineStr">
        <is>
          <t>No</t>
        </is>
      </c>
      <c r="J1096" t="inlineStr">
        <is>
          <t>0</t>
        </is>
      </c>
      <c r="K1096" t="inlineStr">
        <is>
          <t>Eliel, Ernest L. (Ernest Ludwig), 1921-2008.</t>
        </is>
      </c>
      <c r="L1096" t="inlineStr">
        <is>
          <t>New York : Wiley, c1994.</t>
        </is>
      </c>
      <c r="M1096" t="inlineStr">
        <is>
          <t>1994</t>
        </is>
      </c>
      <c r="O1096" t="inlineStr">
        <is>
          <t>eng</t>
        </is>
      </c>
      <c r="P1096" t="inlineStr">
        <is>
          <t>nyu</t>
        </is>
      </c>
      <c r="R1096" t="inlineStr">
        <is>
          <t xml:space="preserve">QD </t>
        </is>
      </c>
      <c r="S1096" t="n">
        <v>1</v>
      </c>
      <c r="T1096" t="n">
        <v>1</v>
      </c>
      <c r="U1096" t="inlineStr">
        <is>
          <t>2005-01-08</t>
        </is>
      </c>
      <c r="V1096" t="inlineStr">
        <is>
          <t>2005-01-08</t>
        </is>
      </c>
      <c r="W1096" t="inlineStr">
        <is>
          <t>2005-01-08</t>
        </is>
      </c>
      <c r="X1096" t="inlineStr">
        <is>
          <t>2005-01-08</t>
        </is>
      </c>
      <c r="Y1096" t="n">
        <v>975</v>
      </c>
      <c r="Z1096" t="n">
        <v>747</v>
      </c>
      <c r="AA1096" t="n">
        <v>760</v>
      </c>
      <c r="AB1096" t="n">
        <v>10</v>
      </c>
      <c r="AC1096" t="n">
        <v>10</v>
      </c>
      <c r="AD1096" t="n">
        <v>41</v>
      </c>
      <c r="AE1096" t="n">
        <v>42</v>
      </c>
      <c r="AF1096" t="n">
        <v>15</v>
      </c>
      <c r="AG1096" t="n">
        <v>16</v>
      </c>
      <c r="AH1096" t="n">
        <v>9</v>
      </c>
      <c r="AI1096" t="n">
        <v>9</v>
      </c>
      <c r="AJ1096" t="n">
        <v>17</v>
      </c>
      <c r="AK1096" t="n">
        <v>18</v>
      </c>
      <c r="AL1096" t="n">
        <v>9</v>
      </c>
      <c r="AM1096" t="n">
        <v>9</v>
      </c>
      <c r="AN1096" t="n">
        <v>0</v>
      </c>
      <c r="AO1096" t="n">
        <v>0</v>
      </c>
      <c r="AP1096" t="inlineStr">
        <is>
          <t>No</t>
        </is>
      </c>
      <c r="AQ1096" t="inlineStr">
        <is>
          <t>Yes</t>
        </is>
      </c>
      <c r="AR1096">
        <f>HYPERLINK("http://catalog.hathitrust.org/Record/002906527","HathiTrust Record")</f>
        <v/>
      </c>
      <c r="AS1096">
        <f>HYPERLINK("https://creighton-primo.hosted.exlibrisgroup.com/primo-explore/search?tab=default_tab&amp;search_scope=EVERYTHING&amp;vid=01CRU&amp;lang=en_US&amp;offset=0&amp;query=any,contains,991004429009702656","Catalog Record")</f>
        <v/>
      </c>
      <c r="AT1096">
        <f>HYPERLINK("http://www.worldcat.org/oclc/27642721","WorldCat Record")</f>
        <v/>
      </c>
      <c r="AU1096" t="inlineStr">
        <is>
          <t>476518540:eng</t>
        </is>
      </c>
      <c r="AV1096" t="inlineStr">
        <is>
          <t>27642721</t>
        </is>
      </c>
      <c r="AW1096" t="inlineStr">
        <is>
          <t>991004429009702656</t>
        </is>
      </c>
      <c r="AX1096" t="inlineStr">
        <is>
          <t>991004429009702656</t>
        </is>
      </c>
      <c r="AY1096" t="inlineStr">
        <is>
          <t>2256269040002656</t>
        </is>
      </c>
      <c r="AZ1096" t="inlineStr">
        <is>
          <t>BOOK</t>
        </is>
      </c>
      <c r="BB1096" t="inlineStr">
        <is>
          <t>9780471016700</t>
        </is>
      </c>
      <c r="BC1096" t="inlineStr">
        <is>
          <t>32285005019335</t>
        </is>
      </c>
      <c r="BD1096" t="inlineStr">
        <is>
          <t>893241422</t>
        </is>
      </c>
    </row>
    <row r="1097">
      <c r="A1097" t="inlineStr">
        <is>
          <t>No</t>
        </is>
      </c>
      <c r="B1097" t="inlineStr">
        <is>
          <t>QD481 .J77 1991</t>
        </is>
      </c>
      <c r="C1097" t="inlineStr">
        <is>
          <t>0                      QD 0481000J  77          1991</t>
        </is>
      </c>
      <c r="D1097" t="inlineStr">
        <is>
          <t>Introduction to stereochemistry and conformational analysis / Eusebio Juaristi.</t>
        </is>
      </c>
      <c r="F1097" t="inlineStr">
        <is>
          <t>No</t>
        </is>
      </c>
      <c r="G1097" t="inlineStr">
        <is>
          <t>1</t>
        </is>
      </c>
      <c r="H1097" t="inlineStr">
        <is>
          <t>No</t>
        </is>
      </c>
      <c r="I1097" t="inlineStr">
        <is>
          <t>No</t>
        </is>
      </c>
      <c r="J1097" t="inlineStr">
        <is>
          <t>0</t>
        </is>
      </c>
      <c r="K1097" t="inlineStr">
        <is>
          <t>Juaristi, Eusebio.</t>
        </is>
      </c>
      <c r="L1097" t="inlineStr">
        <is>
          <t>New York : Wiley, c1991.</t>
        </is>
      </c>
      <c r="M1097" t="inlineStr">
        <is>
          <t>1991</t>
        </is>
      </c>
      <c r="O1097" t="inlineStr">
        <is>
          <t>eng</t>
        </is>
      </c>
      <c r="P1097" t="inlineStr">
        <is>
          <t>nyu</t>
        </is>
      </c>
      <c r="R1097" t="inlineStr">
        <is>
          <t xml:space="preserve">QD </t>
        </is>
      </c>
      <c r="S1097" t="n">
        <v>5</v>
      </c>
      <c r="T1097" t="n">
        <v>5</v>
      </c>
      <c r="U1097" t="inlineStr">
        <is>
          <t>1994-11-19</t>
        </is>
      </c>
      <c r="V1097" t="inlineStr">
        <is>
          <t>1994-11-19</t>
        </is>
      </c>
      <c r="W1097" t="inlineStr">
        <is>
          <t>1992-05-28</t>
        </is>
      </c>
      <c r="X1097" t="inlineStr">
        <is>
          <t>1992-05-28</t>
        </is>
      </c>
      <c r="Y1097" t="n">
        <v>555</v>
      </c>
      <c r="Z1097" t="n">
        <v>432</v>
      </c>
      <c r="AA1097" t="n">
        <v>433</v>
      </c>
      <c r="AB1097" t="n">
        <v>4</v>
      </c>
      <c r="AC1097" t="n">
        <v>4</v>
      </c>
      <c r="AD1097" t="n">
        <v>27</v>
      </c>
      <c r="AE1097" t="n">
        <v>27</v>
      </c>
      <c r="AF1097" t="n">
        <v>12</v>
      </c>
      <c r="AG1097" t="n">
        <v>12</v>
      </c>
      <c r="AH1097" t="n">
        <v>5</v>
      </c>
      <c r="AI1097" t="n">
        <v>5</v>
      </c>
      <c r="AJ1097" t="n">
        <v>16</v>
      </c>
      <c r="AK1097" t="n">
        <v>16</v>
      </c>
      <c r="AL1097" t="n">
        <v>3</v>
      </c>
      <c r="AM1097" t="n">
        <v>3</v>
      </c>
      <c r="AN1097" t="n">
        <v>0</v>
      </c>
      <c r="AO1097" t="n">
        <v>0</v>
      </c>
      <c r="AP1097" t="inlineStr">
        <is>
          <t>No</t>
        </is>
      </c>
      <c r="AQ1097" t="inlineStr">
        <is>
          <t>Yes</t>
        </is>
      </c>
      <c r="AR1097">
        <f>HYPERLINK("http://catalog.hathitrust.org/Record/002533518","HathiTrust Record")</f>
        <v/>
      </c>
      <c r="AS1097">
        <f>HYPERLINK("https://creighton-primo.hosted.exlibrisgroup.com/primo-explore/search?tab=default_tab&amp;search_scope=EVERYTHING&amp;vid=01CRU&amp;lang=en_US&amp;offset=0&amp;query=any,contains,991001886099702656","Catalog Record")</f>
        <v/>
      </c>
      <c r="AT1097">
        <f>HYPERLINK("http://www.worldcat.org/oclc/23767222","WorldCat Record")</f>
        <v/>
      </c>
      <c r="AU1097" t="inlineStr">
        <is>
          <t>25054948:eng</t>
        </is>
      </c>
      <c r="AV1097" t="inlineStr">
        <is>
          <t>23767222</t>
        </is>
      </c>
      <c r="AW1097" t="inlineStr">
        <is>
          <t>991001886099702656</t>
        </is>
      </c>
      <c r="AX1097" t="inlineStr">
        <is>
          <t>991001886099702656</t>
        </is>
      </c>
      <c r="AY1097" t="inlineStr">
        <is>
          <t>2269184450002656</t>
        </is>
      </c>
      <c r="AZ1097" t="inlineStr">
        <is>
          <t>BOOK</t>
        </is>
      </c>
      <c r="BB1097" t="inlineStr">
        <is>
          <t>9780471544111</t>
        </is>
      </c>
      <c r="BC1097" t="inlineStr">
        <is>
          <t>32285001119337</t>
        </is>
      </c>
      <c r="BD1097" t="inlineStr">
        <is>
          <t>893334686</t>
        </is>
      </c>
    </row>
    <row r="1098">
      <c r="A1098" t="inlineStr">
        <is>
          <t>No</t>
        </is>
      </c>
      <c r="B1098" t="inlineStr">
        <is>
          <t>QD481 .M67 2002</t>
        </is>
      </c>
      <c r="C1098" t="inlineStr">
        <is>
          <t>0                      QD 0481000M  67          2002</t>
        </is>
      </c>
      <c r="D1098" t="inlineStr">
        <is>
          <t>Stereochemistry / David G. Morris.</t>
        </is>
      </c>
      <c r="F1098" t="inlineStr">
        <is>
          <t>No</t>
        </is>
      </c>
      <c r="G1098" t="inlineStr">
        <is>
          <t>1</t>
        </is>
      </c>
      <c r="H1098" t="inlineStr">
        <is>
          <t>No</t>
        </is>
      </c>
      <c r="I1098" t="inlineStr">
        <is>
          <t>No</t>
        </is>
      </c>
      <c r="J1098" t="inlineStr">
        <is>
          <t>0</t>
        </is>
      </c>
      <c r="K1098" t="inlineStr">
        <is>
          <t>Morris, David G.</t>
        </is>
      </c>
      <c r="L1098" t="inlineStr">
        <is>
          <t>New York, NY : Wiley-Interscience ; [Cambridge, England] : Royal Society of Chemistry, c2002.</t>
        </is>
      </c>
      <c r="M1098" t="inlineStr">
        <is>
          <t>2002</t>
        </is>
      </c>
      <c r="O1098" t="inlineStr">
        <is>
          <t>eng</t>
        </is>
      </c>
      <c r="P1098" t="inlineStr">
        <is>
          <t>nyu</t>
        </is>
      </c>
      <c r="Q1098" t="inlineStr">
        <is>
          <t>Basic concepts in chemistry</t>
        </is>
      </c>
      <c r="R1098" t="inlineStr">
        <is>
          <t xml:space="preserve">QD </t>
        </is>
      </c>
      <c r="S1098" t="n">
        <v>3</v>
      </c>
      <c r="T1098" t="n">
        <v>3</v>
      </c>
      <c r="U1098" t="inlineStr">
        <is>
          <t>2010-11-21</t>
        </is>
      </c>
      <c r="V1098" t="inlineStr">
        <is>
          <t>2010-11-21</t>
        </is>
      </c>
      <c r="W1098" t="inlineStr">
        <is>
          <t>2003-11-17</t>
        </is>
      </c>
      <c r="X1098" t="inlineStr">
        <is>
          <t>2003-11-17</t>
        </is>
      </c>
      <c r="Y1098" t="n">
        <v>190</v>
      </c>
      <c r="Z1098" t="n">
        <v>146</v>
      </c>
      <c r="AA1098" t="n">
        <v>240</v>
      </c>
      <c r="AB1098" t="n">
        <v>1</v>
      </c>
      <c r="AC1098" t="n">
        <v>2</v>
      </c>
      <c r="AD1098" t="n">
        <v>5</v>
      </c>
      <c r="AE1098" t="n">
        <v>9</v>
      </c>
      <c r="AF1098" t="n">
        <v>2</v>
      </c>
      <c r="AG1098" t="n">
        <v>2</v>
      </c>
      <c r="AH1098" t="n">
        <v>2</v>
      </c>
      <c r="AI1098" t="n">
        <v>2</v>
      </c>
      <c r="AJ1098" t="n">
        <v>2</v>
      </c>
      <c r="AK1098" t="n">
        <v>5</v>
      </c>
      <c r="AL1098" t="n">
        <v>0</v>
      </c>
      <c r="AM1098" t="n">
        <v>1</v>
      </c>
      <c r="AN1098" t="n">
        <v>0</v>
      </c>
      <c r="AO1098" t="n">
        <v>0</v>
      </c>
      <c r="AP1098" t="inlineStr">
        <is>
          <t>No</t>
        </is>
      </c>
      <c r="AQ1098" t="inlineStr">
        <is>
          <t>Yes</t>
        </is>
      </c>
      <c r="AR1098">
        <f>HYPERLINK("http://catalog.hathitrust.org/Record/009464436","HathiTrust Record")</f>
        <v/>
      </c>
      <c r="AS1098">
        <f>HYPERLINK("https://creighton-primo.hosted.exlibrisgroup.com/primo-explore/search?tab=default_tab&amp;search_scope=EVERYTHING&amp;vid=01CRU&amp;lang=en_US&amp;offset=0&amp;query=any,contains,991004183269702656","Catalog Record")</f>
        <v/>
      </c>
      <c r="AT1098">
        <f>HYPERLINK("http://www.worldcat.org/oclc/50073984","WorldCat Record")</f>
        <v/>
      </c>
      <c r="AU1098" t="inlineStr">
        <is>
          <t>6290473:eng</t>
        </is>
      </c>
      <c r="AV1098" t="inlineStr">
        <is>
          <t>50073984</t>
        </is>
      </c>
      <c r="AW1098" t="inlineStr">
        <is>
          <t>991004183269702656</t>
        </is>
      </c>
      <c r="AX1098" t="inlineStr">
        <is>
          <t>991004183269702656</t>
        </is>
      </c>
      <c r="AY1098" t="inlineStr">
        <is>
          <t>2270089780002656</t>
        </is>
      </c>
      <c r="AZ1098" t="inlineStr">
        <is>
          <t>BOOK</t>
        </is>
      </c>
      <c r="BB1098" t="inlineStr">
        <is>
          <t>9780471224778</t>
        </is>
      </c>
      <c r="BC1098" t="inlineStr">
        <is>
          <t>32285004798848</t>
        </is>
      </c>
      <c r="BD1098" t="inlineStr">
        <is>
          <t>893446074</t>
        </is>
      </c>
    </row>
    <row r="1099">
      <c r="A1099" t="inlineStr">
        <is>
          <t>No</t>
        </is>
      </c>
      <c r="B1099" t="inlineStr">
        <is>
          <t>QD481 .N28 1991</t>
        </is>
      </c>
      <c r="C1099" t="inlineStr">
        <is>
          <t>0                      QD 0481000N  28          1991</t>
        </is>
      </c>
      <c r="D1099" t="inlineStr">
        <is>
          <t>Stereochemistry of organic compounds : principles and applications / D. Nasipuri.</t>
        </is>
      </c>
      <c r="F1099" t="inlineStr">
        <is>
          <t>No</t>
        </is>
      </c>
      <c r="G1099" t="inlineStr">
        <is>
          <t>1</t>
        </is>
      </c>
      <c r="H1099" t="inlineStr">
        <is>
          <t>No</t>
        </is>
      </c>
      <c r="I1099" t="inlineStr">
        <is>
          <t>No</t>
        </is>
      </c>
      <c r="J1099" t="inlineStr">
        <is>
          <t>0</t>
        </is>
      </c>
      <c r="K1099" t="inlineStr">
        <is>
          <t>Nasipuri, D.</t>
        </is>
      </c>
      <c r="L1099" t="inlineStr">
        <is>
          <t>New York : Wiley, 1991.</t>
        </is>
      </c>
      <c r="M1099" t="inlineStr">
        <is>
          <t>1991</t>
        </is>
      </c>
      <c r="O1099" t="inlineStr">
        <is>
          <t>eng</t>
        </is>
      </c>
      <c r="P1099" t="inlineStr">
        <is>
          <t>nyu</t>
        </is>
      </c>
      <c r="R1099" t="inlineStr">
        <is>
          <t xml:space="preserve">QD </t>
        </is>
      </c>
      <c r="S1099" t="n">
        <v>4</v>
      </c>
      <c r="T1099" t="n">
        <v>4</v>
      </c>
      <c r="U1099" t="inlineStr">
        <is>
          <t>1994-11-16</t>
        </is>
      </c>
      <c r="V1099" t="inlineStr">
        <is>
          <t>1994-11-16</t>
        </is>
      </c>
      <c r="W1099" t="inlineStr">
        <is>
          <t>1992-04-02</t>
        </is>
      </c>
      <c r="X1099" t="inlineStr">
        <is>
          <t>1992-04-02</t>
        </is>
      </c>
      <c r="Y1099" t="n">
        <v>233</v>
      </c>
      <c r="Z1099" t="n">
        <v>170</v>
      </c>
      <c r="AA1099" t="n">
        <v>554</v>
      </c>
      <c r="AB1099" t="n">
        <v>3</v>
      </c>
      <c r="AC1099" t="n">
        <v>6</v>
      </c>
      <c r="AD1099" t="n">
        <v>10</v>
      </c>
      <c r="AE1099" t="n">
        <v>27</v>
      </c>
      <c r="AF1099" t="n">
        <v>4</v>
      </c>
      <c r="AG1099" t="n">
        <v>10</v>
      </c>
      <c r="AH1099" t="n">
        <v>1</v>
      </c>
      <c r="AI1099" t="n">
        <v>6</v>
      </c>
      <c r="AJ1099" t="n">
        <v>7</v>
      </c>
      <c r="AK1099" t="n">
        <v>11</v>
      </c>
      <c r="AL1099" t="n">
        <v>2</v>
      </c>
      <c r="AM1099" t="n">
        <v>5</v>
      </c>
      <c r="AN1099" t="n">
        <v>0</v>
      </c>
      <c r="AO1099" t="n">
        <v>1</v>
      </c>
      <c r="AP1099" t="inlineStr">
        <is>
          <t>No</t>
        </is>
      </c>
      <c r="AQ1099" t="inlineStr">
        <is>
          <t>Yes</t>
        </is>
      </c>
      <c r="AR1099">
        <f>HYPERLINK("http://catalog.hathitrust.org/Record/002478432","HathiTrust Record")</f>
        <v/>
      </c>
      <c r="AS1099">
        <f>HYPERLINK("https://creighton-primo.hosted.exlibrisgroup.com/primo-explore/search?tab=default_tab&amp;search_scope=EVERYTHING&amp;vid=01CRU&amp;lang=en_US&amp;offset=0&amp;query=any,contains,991001592949702656","Catalog Record")</f>
        <v/>
      </c>
      <c r="AT1099">
        <f>HYPERLINK("http://www.worldcat.org/oclc/20594285","WorldCat Record")</f>
        <v/>
      </c>
      <c r="AU1099" t="inlineStr">
        <is>
          <t>836741392:eng</t>
        </is>
      </c>
      <c r="AV1099" t="inlineStr">
        <is>
          <t>20594285</t>
        </is>
      </c>
      <c r="AW1099" t="inlineStr">
        <is>
          <t>991001592949702656</t>
        </is>
      </c>
      <c r="AX1099" t="inlineStr">
        <is>
          <t>991001592949702656</t>
        </is>
      </c>
      <c r="AY1099" t="inlineStr">
        <is>
          <t>2267495500002656</t>
        </is>
      </c>
      <c r="AZ1099" t="inlineStr">
        <is>
          <t>BOOK</t>
        </is>
      </c>
      <c r="BB1099" t="inlineStr">
        <is>
          <t>9780470216392</t>
        </is>
      </c>
      <c r="BC1099" t="inlineStr">
        <is>
          <t>32285001007755</t>
        </is>
      </c>
      <c r="BD1099" t="inlineStr">
        <is>
          <t>893785206</t>
        </is>
      </c>
    </row>
    <row r="1100">
      <c r="A1100" t="inlineStr">
        <is>
          <t>No</t>
        </is>
      </c>
      <c r="B1100" t="inlineStr">
        <is>
          <t>QD481 .N46 2000</t>
        </is>
      </c>
      <c r="C1100" t="inlineStr">
        <is>
          <t>0                      QD 0481000N  46          2000</t>
        </is>
      </c>
      <c r="D1100" t="inlineStr">
        <is>
          <t>The nuclear Overhauser effect in structural and conformational analysis / David Neuhaus and Michael P. Williamson.</t>
        </is>
      </c>
      <c r="F1100" t="inlineStr">
        <is>
          <t>No</t>
        </is>
      </c>
      <c r="G1100" t="inlineStr">
        <is>
          <t>1</t>
        </is>
      </c>
      <c r="H1100" t="inlineStr">
        <is>
          <t>No</t>
        </is>
      </c>
      <c r="I1100" t="inlineStr">
        <is>
          <t>No</t>
        </is>
      </c>
      <c r="J1100" t="inlineStr">
        <is>
          <t>0</t>
        </is>
      </c>
      <c r="K1100" t="inlineStr">
        <is>
          <t>Neuhaus, David, 1956-</t>
        </is>
      </c>
      <c r="L1100" t="inlineStr">
        <is>
          <t>New York, N.Y. : Wiley-VCH, c2000.</t>
        </is>
      </c>
      <c r="M1100" t="inlineStr">
        <is>
          <t>2000</t>
        </is>
      </c>
      <c r="N1100" t="inlineStr">
        <is>
          <t>2d ed.</t>
        </is>
      </c>
      <c r="O1100" t="inlineStr">
        <is>
          <t>eng</t>
        </is>
      </c>
      <c r="P1100" t="inlineStr">
        <is>
          <t>nyu</t>
        </is>
      </c>
      <c r="Q1100" t="inlineStr">
        <is>
          <t>Methods in stereochemical analysis</t>
        </is>
      </c>
      <c r="R1100" t="inlineStr">
        <is>
          <t xml:space="preserve">QD </t>
        </is>
      </c>
      <c r="S1100" t="n">
        <v>1</v>
      </c>
      <c r="T1100" t="n">
        <v>1</v>
      </c>
      <c r="U1100" t="inlineStr">
        <is>
          <t>2000-11-09</t>
        </is>
      </c>
      <c r="V1100" t="inlineStr">
        <is>
          <t>2000-11-09</t>
        </is>
      </c>
      <c r="W1100" t="inlineStr">
        <is>
          <t>2000-07-31</t>
        </is>
      </c>
      <c r="X1100" t="inlineStr">
        <is>
          <t>2000-07-31</t>
        </is>
      </c>
      <c r="Y1100" t="n">
        <v>249</v>
      </c>
      <c r="Z1100" t="n">
        <v>178</v>
      </c>
      <c r="AA1100" t="n">
        <v>382</v>
      </c>
      <c r="AB1100" t="n">
        <v>2</v>
      </c>
      <c r="AC1100" t="n">
        <v>4</v>
      </c>
      <c r="AD1100" t="n">
        <v>13</v>
      </c>
      <c r="AE1100" t="n">
        <v>23</v>
      </c>
      <c r="AF1100" t="n">
        <v>5</v>
      </c>
      <c r="AG1100" t="n">
        <v>6</v>
      </c>
      <c r="AH1100" t="n">
        <v>4</v>
      </c>
      <c r="AI1100" t="n">
        <v>6</v>
      </c>
      <c r="AJ1100" t="n">
        <v>9</v>
      </c>
      <c r="AK1100" t="n">
        <v>15</v>
      </c>
      <c r="AL1100" t="n">
        <v>1</v>
      </c>
      <c r="AM1100" t="n">
        <v>3</v>
      </c>
      <c r="AN1100" t="n">
        <v>0</v>
      </c>
      <c r="AO1100" t="n">
        <v>0</v>
      </c>
      <c r="AP1100" t="inlineStr">
        <is>
          <t>No</t>
        </is>
      </c>
      <c r="AQ1100" t="inlineStr">
        <is>
          <t>Yes</t>
        </is>
      </c>
      <c r="AR1100">
        <f>HYPERLINK("http://catalog.hathitrust.org/Record/004096172","HathiTrust Record")</f>
        <v/>
      </c>
      <c r="AS1100">
        <f>HYPERLINK("https://creighton-primo.hosted.exlibrisgroup.com/primo-explore/search?tab=default_tab&amp;search_scope=EVERYTHING&amp;vid=01CRU&amp;lang=en_US&amp;offset=0&amp;query=any,contains,991003225229702656","Catalog Record")</f>
        <v/>
      </c>
      <c r="AT1100">
        <f>HYPERLINK("http://www.worldcat.org/oclc/42580535","WorldCat Record")</f>
        <v/>
      </c>
      <c r="AU1100" t="inlineStr">
        <is>
          <t>20117383:eng</t>
        </is>
      </c>
      <c r="AV1100" t="inlineStr">
        <is>
          <t>42580535</t>
        </is>
      </c>
      <c r="AW1100" t="inlineStr">
        <is>
          <t>991003225229702656</t>
        </is>
      </c>
      <c r="AX1100" t="inlineStr">
        <is>
          <t>991003225229702656</t>
        </is>
      </c>
      <c r="AY1100" t="inlineStr">
        <is>
          <t>2269146750002656</t>
        </is>
      </c>
      <c r="AZ1100" t="inlineStr">
        <is>
          <t>BOOK</t>
        </is>
      </c>
      <c r="BB1100" t="inlineStr">
        <is>
          <t>9780471246756</t>
        </is>
      </c>
      <c r="BC1100" t="inlineStr">
        <is>
          <t>32285003743852</t>
        </is>
      </c>
      <c r="BD1100" t="inlineStr">
        <is>
          <t>893698781</t>
        </is>
      </c>
    </row>
    <row r="1101">
      <c r="A1101" t="inlineStr">
        <is>
          <t>No</t>
        </is>
      </c>
      <c r="B1101" t="inlineStr">
        <is>
          <t>QD481 .N63 1981</t>
        </is>
      </c>
      <c r="C1101" t="inlineStr">
        <is>
          <t>0                      QD 0481000N  63          1981</t>
        </is>
      </c>
      <c r="D1101" t="inlineStr">
        <is>
          <t>Stereochemistry, basic concepts and applications / M. Nógrádi.</t>
        </is>
      </c>
      <c r="F1101" t="inlineStr">
        <is>
          <t>No</t>
        </is>
      </c>
      <c r="G1101" t="inlineStr">
        <is>
          <t>1</t>
        </is>
      </c>
      <c r="H1101" t="inlineStr">
        <is>
          <t>No</t>
        </is>
      </c>
      <c r="I1101" t="inlineStr">
        <is>
          <t>No</t>
        </is>
      </c>
      <c r="J1101" t="inlineStr">
        <is>
          <t>0</t>
        </is>
      </c>
      <c r="K1101" t="inlineStr">
        <is>
          <t>Nógrádi, M.</t>
        </is>
      </c>
      <c r="L1101" t="inlineStr">
        <is>
          <t>Oxford ; New York : Pergamon Press, 1981.</t>
        </is>
      </c>
      <c r="M1101" t="inlineStr">
        <is>
          <t>1980</t>
        </is>
      </c>
      <c r="N1101" t="inlineStr">
        <is>
          <t>1st ed.</t>
        </is>
      </c>
      <c r="O1101" t="inlineStr">
        <is>
          <t>eng</t>
        </is>
      </c>
      <c r="P1101" t="inlineStr">
        <is>
          <t>enk</t>
        </is>
      </c>
      <c r="R1101" t="inlineStr">
        <is>
          <t xml:space="preserve">QD </t>
        </is>
      </c>
      <c r="S1101" t="n">
        <v>6</v>
      </c>
      <c r="T1101" t="n">
        <v>6</v>
      </c>
      <c r="U1101" t="inlineStr">
        <is>
          <t>1994-11-19</t>
        </is>
      </c>
      <c r="V1101" t="inlineStr">
        <is>
          <t>1994-11-19</t>
        </is>
      </c>
      <c r="W1101" t="inlineStr">
        <is>
          <t>1992-05-18</t>
        </is>
      </c>
      <c r="X1101" t="inlineStr">
        <is>
          <t>1992-05-18</t>
        </is>
      </c>
      <c r="Y1101" t="n">
        <v>173</v>
      </c>
      <c r="Z1101" t="n">
        <v>118</v>
      </c>
      <c r="AA1101" t="n">
        <v>172</v>
      </c>
      <c r="AB1101" t="n">
        <v>3</v>
      </c>
      <c r="AC1101" t="n">
        <v>3</v>
      </c>
      <c r="AD1101" t="n">
        <v>3</v>
      </c>
      <c r="AE1101" t="n">
        <v>6</v>
      </c>
      <c r="AF1101" t="n">
        <v>0</v>
      </c>
      <c r="AG1101" t="n">
        <v>2</v>
      </c>
      <c r="AH1101" t="n">
        <v>0</v>
      </c>
      <c r="AI1101" t="n">
        <v>2</v>
      </c>
      <c r="AJ1101" t="n">
        <v>1</v>
      </c>
      <c r="AK1101" t="n">
        <v>1</v>
      </c>
      <c r="AL1101" t="n">
        <v>2</v>
      </c>
      <c r="AM1101" t="n">
        <v>2</v>
      </c>
      <c r="AN1101" t="n">
        <v>0</v>
      </c>
      <c r="AO1101" t="n">
        <v>0</v>
      </c>
      <c r="AP1101" t="inlineStr">
        <is>
          <t>No</t>
        </is>
      </c>
      <c r="AQ1101" t="inlineStr">
        <is>
          <t>Yes</t>
        </is>
      </c>
      <c r="AR1101">
        <f>HYPERLINK("http://catalog.hathitrust.org/Record/000727378","HathiTrust Record")</f>
        <v/>
      </c>
      <c r="AS1101">
        <f>HYPERLINK("https://creighton-primo.hosted.exlibrisgroup.com/primo-explore/search?tab=default_tab&amp;search_scope=EVERYTHING&amp;vid=01CRU&amp;lang=en_US&amp;offset=0&amp;query=any,contains,991004993009702656","Catalog Record")</f>
        <v/>
      </c>
      <c r="AT1101">
        <f>HYPERLINK("http://www.worldcat.org/oclc/6487853","WorldCat Record")</f>
        <v/>
      </c>
      <c r="AU1101" t="inlineStr">
        <is>
          <t>22544916:eng</t>
        </is>
      </c>
      <c r="AV1101" t="inlineStr">
        <is>
          <t>6487853</t>
        </is>
      </c>
      <c r="AW1101" t="inlineStr">
        <is>
          <t>991004993009702656</t>
        </is>
      </c>
      <c r="AX1101" t="inlineStr">
        <is>
          <t>991004993009702656</t>
        </is>
      </c>
      <c r="AY1101" t="inlineStr">
        <is>
          <t>2256264080002656</t>
        </is>
      </c>
      <c r="AZ1101" t="inlineStr">
        <is>
          <t>BOOK</t>
        </is>
      </c>
      <c r="BB1101" t="inlineStr">
        <is>
          <t>9780080211619</t>
        </is>
      </c>
      <c r="BC1101" t="inlineStr">
        <is>
          <t>32285001111409</t>
        </is>
      </c>
      <c r="BD1101" t="inlineStr">
        <is>
          <t>893870335</t>
        </is>
      </c>
    </row>
    <row r="1102">
      <c r="A1102" t="inlineStr">
        <is>
          <t>No</t>
        </is>
      </c>
      <c r="B1102" t="inlineStr">
        <is>
          <t>QD501 .A64</t>
        </is>
      </c>
      <c r="C1102" t="inlineStr">
        <is>
          <t>0                      QD 0501000A  64</t>
        </is>
      </c>
      <c r="D1102" t="inlineStr">
        <is>
          <t>Chemical kinetics; principles and selected topics [by] I. Amdur [and] Gordon G. Hammes.</t>
        </is>
      </c>
      <c r="F1102" t="inlineStr">
        <is>
          <t>No</t>
        </is>
      </c>
      <c r="G1102" t="inlineStr">
        <is>
          <t>1</t>
        </is>
      </c>
      <c r="H1102" t="inlineStr">
        <is>
          <t>No</t>
        </is>
      </c>
      <c r="I1102" t="inlineStr">
        <is>
          <t>No</t>
        </is>
      </c>
      <c r="J1102" t="inlineStr">
        <is>
          <t>0</t>
        </is>
      </c>
      <c r="K1102" t="inlineStr">
        <is>
          <t>Amdur, I. (Isadore), 1910-1970.</t>
        </is>
      </c>
      <c r="L1102" t="inlineStr">
        <is>
          <t>New York, McGraw-Hill [1966]</t>
        </is>
      </c>
      <c r="M1102" t="inlineStr">
        <is>
          <t>1966</t>
        </is>
      </c>
      <c r="O1102" t="inlineStr">
        <is>
          <t>eng</t>
        </is>
      </c>
      <c r="P1102" t="inlineStr">
        <is>
          <t>nyu</t>
        </is>
      </c>
      <c r="Q1102" t="inlineStr">
        <is>
          <t>McGraw-Hill series in advanced chemistry</t>
        </is>
      </c>
      <c r="R1102" t="inlineStr">
        <is>
          <t xml:space="preserve">QD </t>
        </is>
      </c>
      <c r="S1102" t="n">
        <v>1</v>
      </c>
      <c r="T1102" t="n">
        <v>1</v>
      </c>
      <c r="U1102" t="inlineStr">
        <is>
          <t>1997-11-01</t>
        </is>
      </c>
      <c r="V1102" t="inlineStr">
        <is>
          <t>1997-11-01</t>
        </is>
      </c>
      <c r="W1102" t="inlineStr">
        <is>
          <t>1997-06-13</t>
        </is>
      </c>
      <c r="X1102" t="inlineStr">
        <is>
          <t>1997-06-13</t>
        </is>
      </c>
      <c r="Y1102" t="n">
        <v>577</v>
      </c>
      <c r="Z1102" t="n">
        <v>449</v>
      </c>
      <c r="AA1102" t="n">
        <v>453</v>
      </c>
      <c r="AB1102" t="n">
        <v>4</v>
      </c>
      <c r="AC1102" t="n">
        <v>4</v>
      </c>
      <c r="AD1102" t="n">
        <v>25</v>
      </c>
      <c r="AE1102" t="n">
        <v>25</v>
      </c>
      <c r="AF1102" t="n">
        <v>8</v>
      </c>
      <c r="AG1102" t="n">
        <v>8</v>
      </c>
      <c r="AH1102" t="n">
        <v>5</v>
      </c>
      <c r="AI1102" t="n">
        <v>5</v>
      </c>
      <c r="AJ1102" t="n">
        <v>13</v>
      </c>
      <c r="AK1102" t="n">
        <v>13</v>
      </c>
      <c r="AL1102" t="n">
        <v>3</v>
      </c>
      <c r="AM1102" t="n">
        <v>3</v>
      </c>
      <c r="AN1102" t="n">
        <v>0</v>
      </c>
      <c r="AO1102" t="n">
        <v>0</v>
      </c>
      <c r="AP1102" t="inlineStr">
        <is>
          <t>No</t>
        </is>
      </c>
      <c r="AQ1102" t="inlineStr">
        <is>
          <t>Yes</t>
        </is>
      </c>
      <c r="AR1102">
        <f>HYPERLINK("http://catalog.hathitrust.org/Record/001114147","HathiTrust Record")</f>
        <v/>
      </c>
      <c r="AS1102">
        <f>HYPERLINK("https://creighton-primo.hosted.exlibrisgroup.com/primo-explore/search?tab=default_tab&amp;search_scope=EVERYTHING&amp;vid=01CRU&amp;lang=en_US&amp;offset=0&amp;query=any,contains,991002965109702656","Catalog Record")</f>
        <v/>
      </c>
      <c r="AT1102">
        <f>HYPERLINK("http://www.worldcat.org/oclc/545503","WorldCat Record")</f>
        <v/>
      </c>
      <c r="AU1102" t="inlineStr">
        <is>
          <t>478416826:eng</t>
        </is>
      </c>
      <c r="AV1102" t="inlineStr">
        <is>
          <t>545503</t>
        </is>
      </c>
      <c r="AW1102" t="inlineStr">
        <is>
          <t>991002965109702656</t>
        </is>
      </c>
      <c r="AX1102" t="inlineStr">
        <is>
          <t>991002965109702656</t>
        </is>
      </c>
      <c r="AY1102" t="inlineStr">
        <is>
          <t>2264510120002656</t>
        </is>
      </c>
      <c r="AZ1102" t="inlineStr">
        <is>
          <t>BOOK</t>
        </is>
      </c>
      <c r="BC1102" t="inlineStr">
        <is>
          <t>32285002807401</t>
        </is>
      </c>
      <c r="BD1102" t="inlineStr">
        <is>
          <t>893511417</t>
        </is>
      </c>
    </row>
    <row r="1103">
      <c r="A1103" t="inlineStr">
        <is>
          <t>No</t>
        </is>
      </c>
      <c r="B1103" t="inlineStr">
        <is>
          <t>QD501 .A682</t>
        </is>
      </c>
      <c r="C1103" t="inlineStr">
        <is>
          <t>0                      QD 0501000A  682</t>
        </is>
      </c>
      <c r="D1103" t="inlineStr">
        <is>
          <t>Solvent effects on reaction rates and mechanisms, by Edward S. Amis.</t>
        </is>
      </c>
      <c r="F1103" t="inlineStr">
        <is>
          <t>No</t>
        </is>
      </c>
      <c r="G1103" t="inlineStr">
        <is>
          <t>1</t>
        </is>
      </c>
      <c r="H1103" t="inlineStr">
        <is>
          <t>No</t>
        </is>
      </c>
      <c r="I1103" t="inlineStr">
        <is>
          <t>No</t>
        </is>
      </c>
      <c r="J1103" t="inlineStr">
        <is>
          <t>0</t>
        </is>
      </c>
      <c r="K1103" t="inlineStr">
        <is>
          <t>Amis, Edward S. (Edward Stephen), 1905-</t>
        </is>
      </c>
      <c r="L1103" t="inlineStr">
        <is>
          <t>New York, Academic Press, 1966.</t>
        </is>
      </c>
      <c r="M1103" t="inlineStr">
        <is>
          <t>1966</t>
        </is>
      </c>
      <c r="O1103" t="inlineStr">
        <is>
          <t>eng</t>
        </is>
      </c>
      <c r="P1103" t="inlineStr">
        <is>
          <t>nyu</t>
        </is>
      </c>
      <c r="R1103" t="inlineStr">
        <is>
          <t xml:space="preserve">QD </t>
        </is>
      </c>
      <c r="S1103" t="n">
        <v>2</v>
      </c>
      <c r="T1103" t="n">
        <v>2</v>
      </c>
      <c r="U1103" t="inlineStr">
        <is>
          <t>1997-11-01</t>
        </is>
      </c>
      <c r="V1103" t="inlineStr">
        <is>
          <t>1997-11-01</t>
        </is>
      </c>
      <c r="W1103" t="inlineStr">
        <is>
          <t>1997-06-13</t>
        </is>
      </c>
      <c r="X1103" t="inlineStr">
        <is>
          <t>1997-06-13</t>
        </is>
      </c>
      <c r="Y1103" t="n">
        <v>556</v>
      </c>
      <c r="Z1103" t="n">
        <v>399</v>
      </c>
      <c r="AA1103" t="n">
        <v>404</v>
      </c>
      <c r="AB1103" t="n">
        <v>3</v>
      </c>
      <c r="AC1103" t="n">
        <v>3</v>
      </c>
      <c r="AD1103" t="n">
        <v>19</v>
      </c>
      <c r="AE1103" t="n">
        <v>19</v>
      </c>
      <c r="AF1103" t="n">
        <v>6</v>
      </c>
      <c r="AG1103" t="n">
        <v>6</v>
      </c>
      <c r="AH1103" t="n">
        <v>6</v>
      </c>
      <c r="AI1103" t="n">
        <v>6</v>
      </c>
      <c r="AJ1103" t="n">
        <v>9</v>
      </c>
      <c r="AK1103" t="n">
        <v>9</v>
      </c>
      <c r="AL1103" t="n">
        <v>2</v>
      </c>
      <c r="AM1103" t="n">
        <v>2</v>
      </c>
      <c r="AN1103" t="n">
        <v>0</v>
      </c>
      <c r="AO1103" t="n">
        <v>0</v>
      </c>
      <c r="AP1103" t="inlineStr">
        <is>
          <t>No</t>
        </is>
      </c>
      <c r="AQ1103" t="inlineStr">
        <is>
          <t>Yes</t>
        </is>
      </c>
      <c r="AR1103">
        <f>HYPERLINK("http://catalog.hathitrust.org/Record/001114149","HathiTrust Record")</f>
        <v/>
      </c>
      <c r="AS1103">
        <f>HYPERLINK("https://creighton-primo.hosted.exlibrisgroup.com/primo-explore/search?tab=default_tab&amp;search_scope=EVERYTHING&amp;vid=01CRU&amp;lang=en_US&amp;offset=0&amp;query=any,contains,991002959849702656","Catalog Record")</f>
        <v/>
      </c>
      <c r="AT1103">
        <f>HYPERLINK("http://www.worldcat.org/oclc/543610","WorldCat Record")</f>
        <v/>
      </c>
      <c r="AU1103" t="inlineStr">
        <is>
          <t>1573986:eng</t>
        </is>
      </c>
      <c r="AV1103" t="inlineStr">
        <is>
          <t>543610</t>
        </is>
      </c>
      <c r="AW1103" t="inlineStr">
        <is>
          <t>991002959849702656</t>
        </is>
      </c>
      <c r="AX1103" t="inlineStr">
        <is>
          <t>991002959849702656</t>
        </is>
      </c>
      <c r="AY1103" t="inlineStr">
        <is>
          <t>2265371780002656</t>
        </is>
      </c>
      <c r="AZ1103" t="inlineStr">
        <is>
          <t>BOOK</t>
        </is>
      </c>
      <c r="BC1103" t="inlineStr">
        <is>
          <t>32285002807419</t>
        </is>
      </c>
      <c r="BD1103" t="inlineStr">
        <is>
          <t>893440753</t>
        </is>
      </c>
    </row>
    <row r="1104">
      <c r="A1104" t="inlineStr">
        <is>
          <t>No</t>
        </is>
      </c>
      <c r="B1104" t="inlineStr">
        <is>
          <t>QD501 .B386</t>
        </is>
      </c>
      <c r="C1104" t="inlineStr">
        <is>
          <t>0                      QD 0501000B  386</t>
        </is>
      </c>
      <c r="D1104" t="inlineStr">
        <is>
          <t>The proton in chemistry.</t>
        </is>
      </c>
      <c r="F1104" t="inlineStr">
        <is>
          <t>No</t>
        </is>
      </c>
      <c r="G1104" t="inlineStr">
        <is>
          <t>1</t>
        </is>
      </c>
      <c r="H1104" t="inlineStr">
        <is>
          <t>No</t>
        </is>
      </c>
      <c r="I1104" t="inlineStr">
        <is>
          <t>No</t>
        </is>
      </c>
      <c r="J1104" t="inlineStr">
        <is>
          <t>0</t>
        </is>
      </c>
      <c r="K1104" t="inlineStr">
        <is>
          <t>Bell, R. P. (Ronald Percy)</t>
        </is>
      </c>
      <c r="L1104" t="inlineStr">
        <is>
          <t>Ithaca, N.Y., Cornell University Press, 1959.</t>
        </is>
      </c>
      <c r="M1104" t="inlineStr">
        <is>
          <t>1959</t>
        </is>
      </c>
      <c r="O1104" t="inlineStr">
        <is>
          <t>eng</t>
        </is>
      </c>
      <c r="P1104" t="inlineStr">
        <is>
          <t>nyu</t>
        </is>
      </c>
      <c r="Q1104" t="inlineStr">
        <is>
          <t>The George Fisher Baker non-resident lectureship in chemistry at Cornell University, 1958</t>
        </is>
      </c>
      <c r="R1104" t="inlineStr">
        <is>
          <t xml:space="preserve">QD </t>
        </is>
      </c>
      <c r="S1104" t="n">
        <v>4</v>
      </c>
      <c r="T1104" t="n">
        <v>4</v>
      </c>
      <c r="U1104" t="inlineStr">
        <is>
          <t>2001-02-15</t>
        </is>
      </c>
      <c r="V1104" t="inlineStr">
        <is>
          <t>2001-02-15</t>
        </is>
      </c>
      <c r="W1104" t="inlineStr">
        <is>
          <t>1997-06-13</t>
        </is>
      </c>
      <c r="X1104" t="inlineStr">
        <is>
          <t>1997-06-13</t>
        </is>
      </c>
      <c r="Y1104" t="n">
        <v>621</v>
      </c>
      <c r="Z1104" t="n">
        <v>548</v>
      </c>
      <c r="AA1104" t="n">
        <v>756</v>
      </c>
      <c r="AB1104" t="n">
        <v>5</v>
      </c>
      <c r="AC1104" t="n">
        <v>7</v>
      </c>
      <c r="AD1104" t="n">
        <v>21</v>
      </c>
      <c r="AE1104" t="n">
        <v>31</v>
      </c>
      <c r="AF1104" t="n">
        <v>8</v>
      </c>
      <c r="AG1104" t="n">
        <v>12</v>
      </c>
      <c r="AH1104" t="n">
        <v>4</v>
      </c>
      <c r="AI1104" t="n">
        <v>7</v>
      </c>
      <c r="AJ1104" t="n">
        <v>11</v>
      </c>
      <c r="AK1104" t="n">
        <v>14</v>
      </c>
      <c r="AL1104" t="n">
        <v>4</v>
      </c>
      <c r="AM1104" t="n">
        <v>6</v>
      </c>
      <c r="AN1104" t="n">
        <v>0</v>
      </c>
      <c r="AO1104" t="n">
        <v>0</v>
      </c>
      <c r="AP1104" t="inlineStr">
        <is>
          <t>No</t>
        </is>
      </c>
      <c r="AQ1104" t="inlineStr">
        <is>
          <t>Yes</t>
        </is>
      </c>
      <c r="AR1104">
        <f>HYPERLINK("http://catalog.hathitrust.org/Record/001034679","HathiTrust Record")</f>
        <v/>
      </c>
      <c r="AS1104">
        <f>HYPERLINK("https://creighton-primo.hosted.exlibrisgroup.com/primo-explore/search?tab=default_tab&amp;search_scope=EVERYTHING&amp;vid=01CRU&amp;lang=en_US&amp;offset=0&amp;query=any,contains,991005355839702656","Catalog Record")</f>
        <v/>
      </c>
      <c r="AT1104">
        <f>HYPERLINK("http://www.worldcat.org/oclc/545499","WorldCat Record")</f>
        <v/>
      </c>
      <c r="AU1104" t="inlineStr">
        <is>
          <t>1577268:eng</t>
        </is>
      </c>
      <c r="AV1104" t="inlineStr">
        <is>
          <t>545499</t>
        </is>
      </c>
      <c r="AW1104" t="inlineStr">
        <is>
          <t>991005355839702656</t>
        </is>
      </c>
      <c r="AX1104" t="inlineStr">
        <is>
          <t>991005355839702656</t>
        </is>
      </c>
      <c r="AY1104" t="inlineStr">
        <is>
          <t>2264430280002656</t>
        </is>
      </c>
      <c r="AZ1104" t="inlineStr">
        <is>
          <t>BOOK</t>
        </is>
      </c>
      <c r="BC1104" t="inlineStr">
        <is>
          <t>32285002807450</t>
        </is>
      </c>
      <c r="BD1104" t="inlineStr">
        <is>
          <t>893242589</t>
        </is>
      </c>
    </row>
    <row r="1105">
      <c r="A1105" t="inlineStr">
        <is>
          <t>No</t>
        </is>
      </c>
      <c r="B1105" t="inlineStr">
        <is>
          <t>QD501 .B388</t>
        </is>
      </c>
      <c r="C1105" t="inlineStr">
        <is>
          <t>0                      QD 0501000B  388</t>
        </is>
      </c>
      <c r="D1105" t="inlineStr">
        <is>
          <t>The foundations of chemical kinetics.</t>
        </is>
      </c>
      <c r="F1105" t="inlineStr">
        <is>
          <t>No</t>
        </is>
      </c>
      <c r="G1105" t="inlineStr">
        <is>
          <t>1</t>
        </is>
      </c>
      <c r="H1105" t="inlineStr">
        <is>
          <t>No</t>
        </is>
      </c>
      <c r="I1105" t="inlineStr">
        <is>
          <t>No</t>
        </is>
      </c>
      <c r="J1105" t="inlineStr">
        <is>
          <t>0</t>
        </is>
      </c>
      <c r="K1105" t="inlineStr">
        <is>
          <t>Benson, Sidney W. (Sidney William), 1918-2011.</t>
        </is>
      </c>
      <c r="L1105" t="inlineStr">
        <is>
          <t>New York, McGraw-Hill, 1960.</t>
        </is>
      </c>
      <c r="M1105" t="inlineStr">
        <is>
          <t>1960</t>
        </is>
      </c>
      <c r="O1105" t="inlineStr">
        <is>
          <t>eng</t>
        </is>
      </c>
      <c r="P1105" t="inlineStr">
        <is>
          <t>nyu</t>
        </is>
      </c>
      <c r="Q1105" t="inlineStr">
        <is>
          <t>McGraw-Hill series in advanced chemistry</t>
        </is>
      </c>
      <c r="R1105" t="inlineStr">
        <is>
          <t xml:space="preserve">QD </t>
        </is>
      </c>
      <c r="S1105" t="n">
        <v>2</v>
      </c>
      <c r="T1105" t="n">
        <v>2</v>
      </c>
      <c r="U1105" t="inlineStr">
        <is>
          <t>1997-11-01</t>
        </is>
      </c>
      <c r="V1105" t="inlineStr">
        <is>
          <t>1997-11-01</t>
        </is>
      </c>
      <c r="W1105" t="inlineStr">
        <is>
          <t>1997-06-13</t>
        </is>
      </c>
      <c r="X1105" t="inlineStr">
        <is>
          <t>1997-06-13</t>
        </is>
      </c>
      <c r="Y1105" t="n">
        <v>933</v>
      </c>
      <c r="Z1105" t="n">
        <v>751</v>
      </c>
      <c r="AA1105" t="n">
        <v>793</v>
      </c>
      <c r="AB1105" t="n">
        <v>8</v>
      </c>
      <c r="AC1105" t="n">
        <v>8</v>
      </c>
      <c r="AD1105" t="n">
        <v>31</v>
      </c>
      <c r="AE1105" t="n">
        <v>33</v>
      </c>
      <c r="AF1105" t="n">
        <v>11</v>
      </c>
      <c r="AG1105" t="n">
        <v>11</v>
      </c>
      <c r="AH1105" t="n">
        <v>4</v>
      </c>
      <c r="AI1105" t="n">
        <v>6</v>
      </c>
      <c r="AJ1105" t="n">
        <v>14</v>
      </c>
      <c r="AK1105" t="n">
        <v>15</v>
      </c>
      <c r="AL1105" t="n">
        <v>7</v>
      </c>
      <c r="AM1105" t="n">
        <v>7</v>
      </c>
      <c r="AN1105" t="n">
        <v>0</v>
      </c>
      <c r="AO1105" t="n">
        <v>0</v>
      </c>
      <c r="AP1105" t="inlineStr">
        <is>
          <t>Yes</t>
        </is>
      </c>
      <c r="AQ1105" t="inlineStr">
        <is>
          <t>No</t>
        </is>
      </c>
      <c r="AR1105">
        <f>HYPERLINK("http://catalog.hathitrust.org/Record/001114155","HathiTrust Record")</f>
        <v/>
      </c>
      <c r="AS1105">
        <f>HYPERLINK("https://creighton-primo.hosted.exlibrisgroup.com/primo-explore/search?tab=default_tab&amp;search_scope=EVERYTHING&amp;vid=01CRU&amp;lang=en_US&amp;offset=0&amp;query=any,contains,991000948479702656","Catalog Record")</f>
        <v/>
      </c>
      <c r="AT1105">
        <f>HYPERLINK("http://www.worldcat.org/oclc/167479","WorldCat Record")</f>
        <v/>
      </c>
      <c r="AU1105" t="inlineStr">
        <is>
          <t>554715:eng</t>
        </is>
      </c>
      <c r="AV1105" t="inlineStr">
        <is>
          <t>167479</t>
        </is>
      </c>
      <c r="AW1105" t="inlineStr">
        <is>
          <t>991000948479702656</t>
        </is>
      </c>
      <c r="AX1105" t="inlineStr">
        <is>
          <t>991000948479702656</t>
        </is>
      </c>
      <c r="AY1105" t="inlineStr">
        <is>
          <t>2272341100002656</t>
        </is>
      </c>
      <c r="AZ1105" t="inlineStr">
        <is>
          <t>BOOK</t>
        </is>
      </c>
      <c r="BC1105" t="inlineStr">
        <is>
          <t>32285002807476</t>
        </is>
      </c>
      <c r="BD1105" t="inlineStr">
        <is>
          <t>893683887</t>
        </is>
      </c>
    </row>
    <row r="1106">
      <c r="A1106" t="inlineStr">
        <is>
          <t>No</t>
        </is>
      </c>
      <c r="B1106" t="inlineStr">
        <is>
          <t>QD501 .B44</t>
        </is>
      </c>
      <c r="C1106" t="inlineStr">
        <is>
          <t>0                      QD 0501000B  44</t>
        </is>
      </c>
      <c r="D1106" t="inlineStr">
        <is>
          <t>The tunnel effect in chemistry / R. P. Bell.</t>
        </is>
      </c>
      <c r="F1106" t="inlineStr">
        <is>
          <t>No</t>
        </is>
      </c>
      <c r="G1106" t="inlineStr">
        <is>
          <t>1</t>
        </is>
      </c>
      <c r="H1106" t="inlineStr">
        <is>
          <t>No</t>
        </is>
      </c>
      <c r="I1106" t="inlineStr">
        <is>
          <t>No</t>
        </is>
      </c>
      <c r="J1106" t="inlineStr">
        <is>
          <t>0</t>
        </is>
      </c>
      <c r="K1106" t="inlineStr">
        <is>
          <t>Bell, R. P. (Ronald Percy)</t>
        </is>
      </c>
      <c r="L1106" t="inlineStr">
        <is>
          <t>London ; New York : Chapman and Hall, 1980.</t>
        </is>
      </c>
      <c r="M1106" t="inlineStr">
        <is>
          <t>1980</t>
        </is>
      </c>
      <c r="O1106" t="inlineStr">
        <is>
          <t>eng</t>
        </is>
      </c>
      <c r="P1106" t="inlineStr">
        <is>
          <t>enk</t>
        </is>
      </c>
      <c r="R1106" t="inlineStr">
        <is>
          <t xml:space="preserve">QD </t>
        </is>
      </c>
      <c r="S1106" t="n">
        <v>3</v>
      </c>
      <c r="T1106" t="n">
        <v>3</v>
      </c>
      <c r="U1106" t="inlineStr">
        <is>
          <t>2000-09-07</t>
        </is>
      </c>
      <c r="V1106" t="inlineStr">
        <is>
          <t>2000-09-07</t>
        </is>
      </c>
      <c r="W1106" t="inlineStr">
        <is>
          <t>1990-08-15</t>
        </is>
      </c>
      <c r="X1106" t="inlineStr">
        <is>
          <t>1990-08-15</t>
        </is>
      </c>
      <c r="Y1106" t="n">
        <v>355</v>
      </c>
      <c r="Z1106" t="n">
        <v>213</v>
      </c>
      <c r="AA1106" t="n">
        <v>228</v>
      </c>
      <c r="AB1106" t="n">
        <v>3</v>
      </c>
      <c r="AC1106" t="n">
        <v>3</v>
      </c>
      <c r="AD1106" t="n">
        <v>12</v>
      </c>
      <c r="AE1106" t="n">
        <v>13</v>
      </c>
      <c r="AF1106" t="n">
        <v>2</v>
      </c>
      <c r="AG1106" t="n">
        <v>3</v>
      </c>
      <c r="AH1106" t="n">
        <v>3</v>
      </c>
      <c r="AI1106" t="n">
        <v>3</v>
      </c>
      <c r="AJ1106" t="n">
        <v>8</v>
      </c>
      <c r="AK1106" t="n">
        <v>9</v>
      </c>
      <c r="AL1106" t="n">
        <v>2</v>
      </c>
      <c r="AM1106" t="n">
        <v>2</v>
      </c>
      <c r="AN1106" t="n">
        <v>0</v>
      </c>
      <c r="AO1106" t="n">
        <v>0</v>
      </c>
      <c r="AP1106" t="inlineStr">
        <is>
          <t>No</t>
        </is>
      </c>
      <c r="AQ1106" t="inlineStr">
        <is>
          <t>Yes</t>
        </is>
      </c>
      <c r="AR1106">
        <f>HYPERLINK("http://catalog.hathitrust.org/Record/007874521","HathiTrust Record")</f>
        <v/>
      </c>
      <c r="AS1106">
        <f>HYPERLINK("https://creighton-primo.hosted.exlibrisgroup.com/primo-explore/search?tab=default_tab&amp;search_scope=EVERYTHING&amp;vid=01CRU&amp;lang=en_US&amp;offset=0&amp;query=any,contains,991005047149702656","Catalog Record")</f>
        <v/>
      </c>
      <c r="AT1106">
        <f>HYPERLINK("http://www.worldcat.org/oclc/6854792","WorldCat Record")</f>
        <v/>
      </c>
      <c r="AU1106" t="inlineStr">
        <is>
          <t>478289:eng</t>
        </is>
      </c>
      <c r="AV1106" t="inlineStr">
        <is>
          <t>6854792</t>
        </is>
      </c>
      <c r="AW1106" t="inlineStr">
        <is>
          <t>991005047149702656</t>
        </is>
      </c>
      <c r="AX1106" t="inlineStr">
        <is>
          <t>991005047149702656</t>
        </is>
      </c>
      <c r="AY1106" t="inlineStr">
        <is>
          <t>2270486790002656</t>
        </is>
      </c>
      <c r="AZ1106" t="inlineStr">
        <is>
          <t>BOOK</t>
        </is>
      </c>
      <c r="BB1106" t="inlineStr">
        <is>
          <t>9780412213403</t>
        </is>
      </c>
      <c r="BC1106" t="inlineStr">
        <is>
          <t>32285000269067</t>
        </is>
      </c>
      <c r="BD1106" t="inlineStr">
        <is>
          <t>893513950</t>
        </is>
      </c>
    </row>
    <row r="1107">
      <c r="A1107" t="inlineStr">
        <is>
          <t>No</t>
        </is>
      </c>
      <c r="B1107" t="inlineStr">
        <is>
          <t>QD501 .D365 1971</t>
        </is>
      </c>
      <c r="C1107" t="inlineStr">
        <is>
          <t>0                      QD 0501000D  365         1971</t>
        </is>
      </c>
      <c r="D1107" t="inlineStr">
        <is>
          <t>The principles of chemical equilibrium, with applications in chemistry and chemical engineering, by Kenneth Denbigh.</t>
        </is>
      </c>
      <c r="F1107" t="inlineStr">
        <is>
          <t>No</t>
        </is>
      </c>
      <c r="G1107" t="inlineStr">
        <is>
          <t>1</t>
        </is>
      </c>
      <c r="H1107" t="inlineStr">
        <is>
          <t>No</t>
        </is>
      </c>
      <c r="I1107" t="inlineStr">
        <is>
          <t>No</t>
        </is>
      </c>
      <c r="J1107" t="inlineStr">
        <is>
          <t>0</t>
        </is>
      </c>
      <c r="K1107" t="inlineStr">
        <is>
          <t>Denbigh, Kenneth George.</t>
        </is>
      </c>
      <c r="L1107" t="inlineStr">
        <is>
          <t>Cambridge [Eng.] University Press, 1971.</t>
        </is>
      </c>
      <c r="M1107" t="inlineStr">
        <is>
          <t>1971</t>
        </is>
      </c>
      <c r="N1107" t="inlineStr">
        <is>
          <t>3d ed.</t>
        </is>
      </c>
      <c r="O1107" t="inlineStr">
        <is>
          <t>eng</t>
        </is>
      </c>
      <c r="P1107" t="inlineStr">
        <is>
          <t>enk</t>
        </is>
      </c>
      <c r="R1107" t="inlineStr">
        <is>
          <t xml:space="preserve">QD </t>
        </is>
      </c>
      <c r="S1107" t="n">
        <v>1</v>
      </c>
      <c r="T1107" t="n">
        <v>1</v>
      </c>
      <c r="U1107" t="inlineStr">
        <is>
          <t>2005-01-13</t>
        </is>
      </c>
      <c r="V1107" t="inlineStr">
        <is>
          <t>2005-01-13</t>
        </is>
      </c>
      <c r="W1107" t="inlineStr">
        <is>
          <t>1997-06-17</t>
        </is>
      </c>
      <c r="X1107" t="inlineStr">
        <is>
          <t>1997-06-17</t>
        </is>
      </c>
      <c r="Y1107" t="n">
        <v>424</v>
      </c>
      <c r="Z1107" t="n">
        <v>298</v>
      </c>
      <c r="AA1107" t="n">
        <v>834</v>
      </c>
      <c r="AB1107" t="n">
        <v>5</v>
      </c>
      <c r="AC1107" t="n">
        <v>7</v>
      </c>
      <c r="AD1107" t="n">
        <v>13</v>
      </c>
      <c r="AE1107" t="n">
        <v>33</v>
      </c>
      <c r="AF1107" t="n">
        <v>3</v>
      </c>
      <c r="AG1107" t="n">
        <v>10</v>
      </c>
      <c r="AH1107" t="n">
        <v>3</v>
      </c>
      <c r="AI1107" t="n">
        <v>9</v>
      </c>
      <c r="AJ1107" t="n">
        <v>6</v>
      </c>
      <c r="AK1107" t="n">
        <v>17</v>
      </c>
      <c r="AL1107" t="n">
        <v>4</v>
      </c>
      <c r="AM1107" t="n">
        <v>6</v>
      </c>
      <c r="AN1107" t="n">
        <v>0</v>
      </c>
      <c r="AO1107" t="n">
        <v>0</v>
      </c>
      <c r="AP1107" t="inlineStr">
        <is>
          <t>No</t>
        </is>
      </c>
      <c r="AQ1107" t="inlineStr">
        <is>
          <t>No</t>
        </is>
      </c>
      <c r="AS1107">
        <f>HYPERLINK("https://creighton-primo.hosted.exlibrisgroup.com/primo-explore/search?tab=default_tab&amp;search_scope=EVERYTHING&amp;vid=01CRU&amp;lang=en_US&amp;offset=0&amp;query=any,contains,991000905489702656","Catalog Record")</f>
        <v/>
      </c>
      <c r="AT1107">
        <f>HYPERLINK("http://www.worldcat.org/oclc/156902","WorldCat Record")</f>
        <v/>
      </c>
      <c r="AU1107" t="inlineStr">
        <is>
          <t>1081978690:eng</t>
        </is>
      </c>
      <c r="AV1107" t="inlineStr">
        <is>
          <t>156902</t>
        </is>
      </c>
      <c r="AW1107" t="inlineStr">
        <is>
          <t>991000905489702656</t>
        </is>
      </c>
      <c r="AX1107" t="inlineStr">
        <is>
          <t>991000905489702656</t>
        </is>
      </c>
      <c r="AY1107" t="inlineStr">
        <is>
          <t>2257138060002656</t>
        </is>
      </c>
      <c r="AZ1107" t="inlineStr">
        <is>
          <t>BOOK</t>
        </is>
      </c>
      <c r="BB1107" t="inlineStr">
        <is>
          <t>9780521081511</t>
        </is>
      </c>
      <c r="BC1107" t="inlineStr">
        <is>
          <t>32285002807583</t>
        </is>
      </c>
      <c r="BD1107" t="inlineStr">
        <is>
          <t>893231520</t>
        </is>
      </c>
    </row>
    <row r="1108">
      <c r="A1108" t="inlineStr">
        <is>
          <t>No</t>
        </is>
      </c>
      <c r="B1108" t="inlineStr">
        <is>
          <t>QD501 .H24</t>
        </is>
      </c>
      <c r="C1108" t="inlineStr">
        <is>
          <t>0                      QD 0501000H  24</t>
        </is>
      </c>
      <c r="D1108" t="inlineStr">
        <is>
          <t>Substituent constants for correlation analysis in chemistry and biology / Corwin Hansch and Albert Leo.</t>
        </is>
      </c>
      <c r="F1108" t="inlineStr">
        <is>
          <t>No</t>
        </is>
      </c>
      <c r="G1108" t="inlineStr">
        <is>
          <t>1</t>
        </is>
      </c>
      <c r="H1108" t="inlineStr">
        <is>
          <t>No</t>
        </is>
      </c>
      <c r="I1108" t="inlineStr">
        <is>
          <t>No</t>
        </is>
      </c>
      <c r="J1108" t="inlineStr">
        <is>
          <t>0</t>
        </is>
      </c>
      <c r="K1108" t="inlineStr">
        <is>
          <t>Hansch, Corwin.</t>
        </is>
      </c>
      <c r="L1108" t="inlineStr">
        <is>
          <t>New York : Wiley, c1979.</t>
        </is>
      </c>
      <c r="M1108" t="inlineStr">
        <is>
          <t>1979</t>
        </is>
      </c>
      <c r="O1108" t="inlineStr">
        <is>
          <t>eng</t>
        </is>
      </c>
      <c r="P1108" t="inlineStr">
        <is>
          <t>nyu</t>
        </is>
      </c>
      <c r="R1108" t="inlineStr">
        <is>
          <t xml:space="preserve">QD </t>
        </is>
      </c>
      <c r="S1108" t="n">
        <v>1</v>
      </c>
      <c r="T1108" t="n">
        <v>1</v>
      </c>
      <c r="U1108" t="inlineStr">
        <is>
          <t>1994-10-12</t>
        </is>
      </c>
      <c r="V1108" t="inlineStr">
        <is>
          <t>1994-10-12</t>
        </is>
      </c>
      <c r="W1108" t="inlineStr">
        <is>
          <t>1992-04-16</t>
        </is>
      </c>
      <c r="X1108" t="inlineStr">
        <is>
          <t>1992-04-16</t>
        </is>
      </c>
      <c r="Y1108" t="n">
        <v>348</v>
      </c>
      <c r="Z1108" t="n">
        <v>265</v>
      </c>
      <c r="AA1108" t="n">
        <v>266</v>
      </c>
      <c r="AB1108" t="n">
        <v>3</v>
      </c>
      <c r="AC1108" t="n">
        <v>3</v>
      </c>
      <c r="AD1108" t="n">
        <v>12</v>
      </c>
      <c r="AE1108" t="n">
        <v>12</v>
      </c>
      <c r="AF1108" t="n">
        <v>2</v>
      </c>
      <c r="AG1108" t="n">
        <v>2</v>
      </c>
      <c r="AH1108" t="n">
        <v>4</v>
      </c>
      <c r="AI1108" t="n">
        <v>4</v>
      </c>
      <c r="AJ1108" t="n">
        <v>7</v>
      </c>
      <c r="AK1108" t="n">
        <v>7</v>
      </c>
      <c r="AL1108" t="n">
        <v>2</v>
      </c>
      <c r="AM1108" t="n">
        <v>2</v>
      </c>
      <c r="AN1108" t="n">
        <v>0</v>
      </c>
      <c r="AO1108" t="n">
        <v>0</v>
      </c>
      <c r="AP1108" t="inlineStr">
        <is>
          <t>No</t>
        </is>
      </c>
      <c r="AQ1108" t="inlineStr">
        <is>
          <t>Yes</t>
        </is>
      </c>
      <c r="AR1108">
        <f>HYPERLINK("http://catalog.hathitrust.org/Record/003344140","HathiTrust Record")</f>
        <v/>
      </c>
      <c r="AS1108">
        <f>HYPERLINK("https://creighton-primo.hosted.exlibrisgroup.com/primo-explore/search?tab=default_tab&amp;search_scope=EVERYTHING&amp;vid=01CRU&amp;lang=en_US&amp;offset=0&amp;query=any,contains,991004647429702656","Catalog Record")</f>
        <v/>
      </c>
      <c r="AT1108">
        <f>HYPERLINK("http://www.worldcat.org/oclc/4492630","WorldCat Record")</f>
        <v/>
      </c>
      <c r="AU1108" t="inlineStr">
        <is>
          <t>14762012:eng</t>
        </is>
      </c>
      <c r="AV1108" t="inlineStr">
        <is>
          <t>4492630</t>
        </is>
      </c>
      <c r="AW1108" t="inlineStr">
        <is>
          <t>991004647429702656</t>
        </is>
      </c>
      <c r="AX1108" t="inlineStr">
        <is>
          <t>991004647429702656</t>
        </is>
      </c>
      <c r="AY1108" t="inlineStr">
        <is>
          <t>2263587290002656</t>
        </is>
      </c>
      <c r="AZ1108" t="inlineStr">
        <is>
          <t>BOOK</t>
        </is>
      </c>
      <c r="BB1108" t="inlineStr">
        <is>
          <t>9780471050629</t>
        </is>
      </c>
      <c r="BC1108" t="inlineStr">
        <is>
          <t>32285001044980</t>
        </is>
      </c>
      <c r="BD1108" t="inlineStr">
        <is>
          <t>893876360</t>
        </is>
      </c>
    </row>
    <row r="1109">
      <c r="A1109" t="inlineStr">
        <is>
          <t>No</t>
        </is>
      </c>
      <c r="B1109" t="inlineStr">
        <is>
          <t>QD501 .H42</t>
        </is>
      </c>
      <c r="C1109" t="inlineStr">
        <is>
          <t>0                      QD 0501000H  42</t>
        </is>
      </c>
      <c r="D1109" t="inlineStr">
        <is>
          <t>The hydrated electron / [by] Edwin J. Hart [and] Michael Anbar.</t>
        </is>
      </c>
      <c r="F1109" t="inlineStr">
        <is>
          <t>No</t>
        </is>
      </c>
      <c r="G1109" t="inlineStr">
        <is>
          <t>1</t>
        </is>
      </c>
      <c r="H1109" t="inlineStr">
        <is>
          <t>No</t>
        </is>
      </c>
      <c r="I1109" t="inlineStr">
        <is>
          <t>No</t>
        </is>
      </c>
      <c r="J1109" t="inlineStr">
        <is>
          <t>0</t>
        </is>
      </c>
      <c r="K1109" t="inlineStr">
        <is>
          <t>Hart, Edwin J. (Edwin James), 1910-</t>
        </is>
      </c>
      <c r="L1109" t="inlineStr">
        <is>
          <t>New York : Wiley-Interscience, [1970]</t>
        </is>
      </c>
      <c r="M1109" t="inlineStr">
        <is>
          <t>1970</t>
        </is>
      </c>
      <c r="O1109" t="inlineStr">
        <is>
          <t>eng</t>
        </is>
      </c>
      <c r="P1109" t="inlineStr">
        <is>
          <t>nyu</t>
        </is>
      </c>
      <c r="R1109" t="inlineStr">
        <is>
          <t xml:space="preserve">QD </t>
        </is>
      </c>
      <c r="S1109" t="n">
        <v>1</v>
      </c>
      <c r="T1109" t="n">
        <v>1</v>
      </c>
      <c r="U1109" t="inlineStr">
        <is>
          <t>2003-08-12</t>
        </is>
      </c>
      <c r="V1109" t="inlineStr">
        <is>
          <t>2003-08-12</t>
        </is>
      </c>
      <c r="W1109" t="inlineStr">
        <is>
          <t>2000-01-10</t>
        </is>
      </c>
      <c r="X1109" t="inlineStr">
        <is>
          <t>2000-01-10</t>
        </is>
      </c>
      <c r="Y1109" t="n">
        <v>496</v>
      </c>
      <c r="Z1109" t="n">
        <v>377</v>
      </c>
      <c r="AA1109" t="n">
        <v>385</v>
      </c>
      <c r="AB1109" t="n">
        <v>5</v>
      </c>
      <c r="AC1109" t="n">
        <v>5</v>
      </c>
      <c r="AD1109" t="n">
        <v>13</v>
      </c>
      <c r="AE1109" t="n">
        <v>13</v>
      </c>
      <c r="AF1109" t="n">
        <v>3</v>
      </c>
      <c r="AG1109" t="n">
        <v>3</v>
      </c>
      <c r="AH1109" t="n">
        <v>4</v>
      </c>
      <c r="AI1109" t="n">
        <v>4</v>
      </c>
      <c r="AJ1109" t="n">
        <v>6</v>
      </c>
      <c r="AK1109" t="n">
        <v>6</v>
      </c>
      <c r="AL1109" t="n">
        <v>4</v>
      </c>
      <c r="AM1109" t="n">
        <v>4</v>
      </c>
      <c r="AN1109" t="n">
        <v>0</v>
      </c>
      <c r="AO1109" t="n">
        <v>0</v>
      </c>
      <c r="AP1109" t="inlineStr">
        <is>
          <t>No</t>
        </is>
      </c>
      <c r="AQ1109" t="inlineStr">
        <is>
          <t>Yes</t>
        </is>
      </c>
      <c r="AR1109">
        <f>HYPERLINK("http://catalog.hathitrust.org/Record/001034742","HathiTrust Record")</f>
        <v/>
      </c>
      <c r="AS1109">
        <f>HYPERLINK("https://creighton-primo.hosted.exlibrisgroup.com/primo-explore/search?tab=default_tab&amp;search_scope=EVERYTHING&amp;vid=01CRU&amp;lang=en_US&amp;offset=0&amp;query=any,contains,991000539469702656","Catalog Record")</f>
        <v/>
      </c>
      <c r="AT1109">
        <f>HYPERLINK("http://www.worldcat.org/oclc/90252","WorldCat Record")</f>
        <v/>
      </c>
      <c r="AU1109" t="inlineStr">
        <is>
          <t>1297164:eng</t>
        </is>
      </c>
      <c r="AV1109" t="inlineStr">
        <is>
          <t>90252</t>
        </is>
      </c>
      <c r="AW1109" t="inlineStr">
        <is>
          <t>991000539469702656</t>
        </is>
      </c>
      <c r="AX1109" t="inlineStr">
        <is>
          <t>991000539469702656</t>
        </is>
      </c>
      <c r="AY1109" t="inlineStr">
        <is>
          <t>2266264700002656</t>
        </is>
      </c>
      <c r="AZ1109" t="inlineStr">
        <is>
          <t>BOOK</t>
        </is>
      </c>
      <c r="BB1109" t="inlineStr">
        <is>
          <t>9780471356356</t>
        </is>
      </c>
      <c r="BC1109" t="inlineStr">
        <is>
          <t>32285003639191</t>
        </is>
      </c>
      <c r="BD1109" t="inlineStr">
        <is>
          <t>893351565</t>
        </is>
      </c>
    </row>
    <row r="1110">
      <c r="A1110" t="inlineStr">
        <is>
          <t>No</t>
        </is>
      </c>
      <c r="B1110" t="inlineStr">
        <is>
          <t>QD501 .I623 1986 v.1-2</t>
        </is>
      </c>
      <c r="C1110" t="inlineStr">
        <is>
          <t>0                      QD 0501000I  623         1986                                        v.1-2</t>
        </is>
      </c>
      <c r="D1110" t="inlineStr">
        <is>
          <t>The formation of bonds to hydrogen / editor, J.J. Zuckerman ; subject index editor, A.P. Hagen.</t>
        </is>
      </c>
      <c r="E1110" t="inlineStr">
        <is>
          <t>V.1</t>
        </is>
      </c>
      <c r="F1110" t="inlineStr">
        <is>
          <t>Yes</t>
        </is>
      </c>
      <c r="G1110" t="inlineStr">
        <is>
          <t>1</t>
        </is>
      </c>
      <c r="H1110" t="inlineStr">
        <is>
          <t>No</t>
        </is>
      </c>
      <c r="I1110" t="inlineStr">
        <is>
          <t>No</t>
        </is>
      </c>
      <c r="J1110" t="inlineStr">
        <is>
          <t>0</t>
        </is>
      </c>
      <c r="L1110" t="inlineStr">
        <is>
          <t>[Deerfield Beach, Fla.] : VCH Publishers, c1986-87.</t>
        </is>
      </c>
      <c r="M1110" t="inlineStr">
        <is>
          <t>1986</t>
        </is>
      </c>
      <c r="O1110" t="inlineStr">
        <is>
          <t>eng</t>
        </is>
      </c>
      <c r="P1110" t="inlineStr">
        <is>
          <t>flu</t>
        </is>
      </c>
      <c r="Q1110" t="inlineStr">
        <is>
          <t>Inorganic reactions and methods ; v. 1-2</t>
        </is>
      </c>
      <c r="R1110" t="inlineStr">
        <is>
          <t xml:space="preserve">QD </t>
        </is>
      </c>
      <c r="S1110" t="n">
        <v>1</v>
      </c>
      <c r="T1110" t="n">
        <v>1</v>
      </c>
      <c r="U1110" t="inlineStr">
        <is>
          <t>1994-11-28</t>
        </is>
      </c>
      <c r="V1110" t="inlineStr">
        <is>
          <t>1994-11-28</t>
        </is>
      </c>
      <c r="W1110" t="inlineStr">
        <is>
          <t>1991-09-27</t>
        </is>
      </c>
      <c r="X1110" t="inlineStr">
        <is>
          <t>1991-09-27</t>
        </is>
      </c>
      <c r="Y1110" t="n">
        <v>20</v>
      </c>
      <c r="Z1110" t="n">
        <v>14</v>
      </c>
      <c r="AA1110" t="n">
        <v>14</v>
      </c>
      <c r="AB1110" t="n">
        <v>1</v>
      </c>
      <c r="AC1110" t="n">
        <v>1</v>
      </c>
      <c r="AD1110" t="n">
        <v>0</v>
      </c>
      <c r="AE1110" t="n">
        <v>0</v>
      </c>
      <c r="AF1110" t="n">
        <v>0</v>
      </c>
      <c r="AG1110" t="n">
        <v>0</v>
      </c>
      <c r="AH1110" t="n">
        <v>0</v>
      </c>
      <c r="AI1110" t="n">
        <v>0</v>
      </c>
      <c r="AJ1110" t="n">
        <v>0</v>
      </c>
      <c r="AK1110" t="n">
        <v>0</v>
      </c>
      <c r="AL1110" t="n">
        <v>0</v>
      </c>
      <c r="AM1110" t="n">
        <v>0</v>
      </c>
      <c r="AN1110" t="n">
        <v>0</v>
      </c>
      <c r="AO1110" t="n">
        <v>0</v>
      </c>
      <c r="AP1110" t="inlineStr">
        <is>
          <t>No</t>
        </is>
      </c>
      <c r="AQ1110" t="inlineStr">
        <is>
          <t>No</t>
        </is>
      </c>
      <c r="AS1110">
        <f>HYPERLINK("https://creighton-primo.hosted.exlibrisgroup.com/primo-explore/search?tab=default_tab&amp;search_scope=EVERYTHING&amp;vid=01CRU&amp;lang=en_US&amp;offset=0&amp;query=any,contains,991001071939702656","Catalog Record")</f>
        <v/>
      </c>
      <c r="AT1110">
        <f>HYPERLINK("http://www.worldcat.org/oclc/15937511","WorldCat Record")</f>
        <v/>
      </c>
      <c r="AU1110" t="inlineStr">
        <is>
          <t>3855597219:eng</t>
        </is>
      </c>
      <c r="AV1110" t="inlineStr">
        <is>
          <t>15937511</t>
        </is>
      </c>
      <c r="AW1110" t="inlineStr">
        <is>
          <t>991001071939702656</t>
        </is>
      </c>
      <c r="AX1110" t="inlineStr">
        <is>
          <t>991001071939702656</t>
        </is>
      </c>
      <c r="AY1110" t="inlineStr">
        <is>
          <t>2268174980002656</t>
        </is>
      </c>
      <c r="AZ1110" t="inlineStr">
        <is>
          <t>BOOK</t>
        </is>
      </c>
      <c r="BB1110" t="inlineStr">
        <is>
          <t>9780895732514</t>
        </is>
      </c>
      <c r="BC1110" t="inlineStr">
        <is>
          <t>32285000764182</t>
        </is>
      </c>
      <c r="BD1110" t="inlineStr">
        <is>
          <t>893778533</t>
        </is>
      </c>
    </row>
    <row r="1111">
      <c r="A1111" t="inlineStr">
        <is>
          <t>No</t>
        </is>
      </c>
      <c r="B1111" t="inlineStr">
        <is>
          <t>QD501 .I623 1986 v.13</t>
        </is>
      </c>
      <c r="C1111" t="inlineStr">
        <is>
          <t>0                      QD 0501000I  623         1986                                        v.13</t>
        </is>
      </c>
      <c r="D1111" t="inlineStr">
        <is>
          <t>The Formation of bonds to Group-I, -II, and -IIIB elements / founding editor J.J. Zuckerman ; editor, A.P. Hagen.</t>
        </is>
      </c>
      <c r="E1111" t="inlineStr">
        <is>
          <t>V.13</t>
        </is>
      </c>
      <c r="F1111" t="inlineStr">
        <is>
          <t>No</t>
        </is>
      </c>
      <c r="G1111" t="inlineStr">
        <is>
          <t>1</t>
        </is>
      </c>
      <c r="H1111" t="inlineStr">
        <is>
          <t>No</t>
        </is>
      </c>
      <c r="I1111" t="inlineStr">
        <is>
          <t>No</t>
        </is>
      </c>
      <c r="J1111" t="inlineStr">
        <is>
          <t>0</t>
        </is>
      </c>
      <c r="L1111" t="inlineStr">
        <is>
          <t>New York : VCH Publishers, c1991.</t>
        </is>
      </c>
      <c r="M1111" t="inlineStr">
        <is>
          <t>1991</t>
        </is>
      </c>
      <c r="O1111" t="inlineStr">
        <is>
          <t>eng</t>
        </is>
      </c>
      <c r="P1111" t="inlineStr">
        <is>
          <t>nyu</t>
        </is>
      </c>
      <c r="Q1111" t="inlineStr">
        <is>
          <t>Inorganic reactions and methods ; v. 13</t>
        </is>
      </c>
      <c r="R1111" t="inlineStr">
        <is>
          <t xml:space="preserve">QD </t>
        </is>
      </c>
      <c r="S1111" t="n">
        <v>2</v>
      </c>
      <c r="T1111" t="n">
        <v>2</v>
      </c>
      <c r="U1111" t="inlineStr">
        <is>
          <t>1994-11-21</t>
        </is>
      </c>
      <c r="V1111" t="inlineStr">
        <is>
          <t>1994-11-21</t>
        </is>
      </c>
      <c r="W1111" t="inlineStr">
        <is>
          <t>1991-09-27</t>
        </is>
      </c>
      <c r="X1111" t="inlineStr">
        <is>
          <t>1991-09-27</t>
        </is>
      </c>
      <c r="Y1111" t="n">
        <v>19</v>
      </c>
      <c r="Z1111" t="n">
        <v>10</v>
      </c>
      <c r="AA1111" t="n">
        <v>29</v>
      </c>
      <c r="AB1111" t="n">
        <v>1</v>
      </c>
      <c r="AC1111" t="n">
        <v>1</v>
      </c>
      <c r="AD1111" t="n">
        <v>0</v>
      </c>
      <c r="AE1111" t="n">
        <v>0</v>
      </c>
      <c r="AF1111" t="n">
        <v>0</v>
      </c>
      <c r="AG1111" t="n">
        <v>0</v>
      </c>
      <c r="AH1111" t="n">
        <v>0</v>
      </c>
      <c r="AI1111" t="n">
        <v>0</v>
      </c>
      <c r="AJ1111" t="n">
        <v>0</v>
      </c>
      <c r="AK1111" t="n">
        <v>0</v>
      </c>
      <c r="AL1111" t="n">
        <v>0</v>
      </c>
      <c r="AM1111" t="n">
        <v>0</v>
      </c>
      <c r="AN1111" t="n">
        <v>0</v>
      </c>
      <c r="AO1111" t="n">
        <v>0</v>
      </c>
      <c r="AP1111" t="inlineStr">
        <is>
          <t>No</t>
        </is>
      </c>
      <c r="AQ1111" t="inlineStr">
        <is>
          <t>No</t>
        </is>
      </c>
      <c r="AS1111">
        <f>HYPERLINK("https://creighton-primo.hosted.exlibrisgroup.com/primo-explore/search?tab=default_tab&amp;search_scope=EVERYTHING&amp;vid=01CRU&amp;lang=en_US&amp;offset=0&amp;query=any,contains,991001924239702656","Catalog Record")</f>
        <v/>
      </c>
      <c r="AT1111">
        <f>HYPERLINK("http://www.worldcat.org/oclc/24291200","WorldCat Record")</f>
        <v/>
      </c>
      <c r="AU1111" t="inlineStr">
        <is>
          <t>3856783774:eng</t>
        </is>
      </c>
      <c r="AV1111" t="inlineStr">
        <is>
          <t>24291200</t>
        </is>
      </c>
      <c r="AW1111" t="inlineStr">
        <is>
          <t>991001924239702656</t>
        </is>
      </c>
      <c r="AX1111" t="inlineStr">
        <is>
          <t>991001924239702656</t>
        </is>
      </c>
      <c r="AY1111" t="inlineStr">
        <is>
          <t>2263960090002656</t>
        </is>
      </c>
      <c r="AZ1111" t="inlineStr">
        <is>
          <t>BOOK</t>
        </is>
      </c>
      <c r="BB1111" t="inlineStr">
        <is>
          <t>9780895732637</t>
        </is>
      </c>
      <c r="BC1111" t="inlineStr">
        <is>
          <t>32285000744341</t>
        </is>
      </c>
      <c r="BD1111" t="inlineStr">
        <is>
          <t>893872892</t>
        </is>
      </c>
    </row>
    <row r="1112">
      <c r="A1112" t="inlineStr">
        <is>
          <t>No</t>
        </is>
      </c>
      <c r="B1112" t="inlineStr">
        <is>
          <t>QD501 .I623 1986 v.3-4</t>
        </is>
      </c>
      <c r="C1112" t="inlineStr">
        <is>
          <t>0                      QD 0501000I  623         1986                                        v.3-4</t>
        </is>
      </c>
      <c r="D1112" t="inlineStr">
        <is>
          <t>The Formation of bonds to halogens / founding editor, J.J. Zuckerman ; editor, A.P. Hagen.</t>
        </is>
      </c>
      <c r="E1112" t="inlineStr">
        <is>
          <t>V.3</t>
        </is>
      </c>
      <c r="F1112" t="inlineStr">
        <is>
          <t>Yes</t>
        </is>
      </c>
      <c r="G1112" t="inlineStr">
        <is>
          <t>1</t>
        </is>
      </c>
      <c r="H1112" t="inlineStr">
        <is>
          <t>No</t>
        </is>
      </c>
      <c r="I1112" t="inlineStr">
        <is>
          <t>No</t>
        </is>
      </c>
      <c r="J1112" t="inlineStr">
        <is>
          <t>0</t>
        </is>
      </c>
      <c r="L1112" t="inlineStr">
        <is>
          <t>New York : VCH Publishers, c1989-</t>
        </is>
      </c>
      <c r="M1112" t="inlineStr">
        <is>
          <t>1989</t>
        </is>
      </c>
      <c r="O1112" t="inlineStr">
        <is>
          <t>eng</t>
        </is>
      </c>
      <c r="P1112" t="inlineStr">
        <is>
          <t>nyu</t>
        </is>
      </c>
      <c r="Q1112" t="inlineStr">
        <is>
          <t>Inorganic reactions and methods ; v. 3-4</t>
        </is>
      </c>
      <c r="R1112" t="inlineStr">
        <is>
          <t xml:space="preserve">QD </t>
        </is>
      </c>
      <c r="S1112" t="n">
        <v>2</v>
      </c>
      <c r="T1112" t="n">
        <v>7</v>
      </c>
      <c r="U1112" t="inlineStr">
        <is>
          <t>1996-09-25</t>
        </is>
      </c>
      <c r="V1112" t="inlineStr">
        <is>
          <t>1996-09-25</t>
        </is>
      </c>
      <c r="W1112" t="inlineStr">
        <is>
          <t>1991-09-27</t>
        </is>
      </c>
      <c r="X1112" t="inlineStr">
        <is>
          <t>1991-09-27</t>
        </is>
      </c>
      <c r="Y1112" t="n">
        <v>20</v>
      </c>
      <c r="Z1112" t="n">
        <v>10</v>
      </c>
      <c r="AA1112" t="n">
        <v>31</v>
      </c>
      <c r="AB1112" t="n">
        <v>1</v>
      </c>
      <c r="AC1112" t="n">
        <v>1</v>
      </c>
      <c r="AD1112" t="n">
        <v>0</v>
      </c>
      <c r="AE1112" t="n">
        <v>0</v>
      </c>
      <c r="AF1112" t="n">
        <v>0</v>
      </c>
      <c r="AG1112" t="n">
        <v>0</v>
      </c>
      <c r="AH1112" t="n">
        <v>0</v>
      </c>
      <c r="AI1112" t="n">
        <v>0</v>
      </c>
      <c r="AJ1112" t="n">
        <v>0</v>
      </c>
      <c r="AK1112" t="n">
        <v>0</v>
      </c>
      <c r="AL1112" t="n">
        <v>0</v>
      </c>
      <c r="AM1112" t="n">
        <v>0</v>
      </c>
      <c r="AN1112" t="n">
        <v>0</v>
      </c>
      <c r="AO1112" t="n">
        <v>0</v>
      </c>
      <c r="AP1112" t="inlineStr">
        <is>
          <t>No</t>
        </is>
      </c>
      <c r="AQ1112" t="inlineStr">
        <is>
          <t>No</t>
        </is>
      </c>
      <c r="AS1112">
        <f>HYPERLINK("https://creighton-primo.hosted.exlibrisgroup.com/primo-explore/search?tab=default_tab&amp;search_scope=EVERYTHING&amp;vid=01CRU&amp;lang=en_US&amp;offset=0&amp;query=any,contains,991001630029702656","Catalog Record")</f>
        <v/>
      </c>
      <c r="AT1112">
        <f>HYPERLINK("http://www.worldcat.org/oclc/20898494","WorldCat Record")</f>
        <v/>
      </c>
      <c r="AU1112" t="inlineStr">
        <is>
          <t>3856600237:eng</t>
        </is>
      </c>
      <c r="AV1112" t="inlineStr">
        <is>
          <t>20898494</t>
        </is>
      </c>
      <c r="AW1112" t="inlineStr">
        <is>
          <t>991001630029702656</t>
        </is>
      </c>
      <c r="AX1112" t="inlineStr">
        <is>
          <t>991001630029702656</t>
        </is>
      </c>
      <c r="AY1112" t="inlineStr">
        <is>
          <t>2268177900002656</t>
        </is>
      </c>
      <c r="AZ1112" t="inlineStr">
        <is>
          <t>BOOK</t>
        </is>
      </c>
      <c r="BB1112" t="inlineStr">
        <is>
          <t>9780895732538</t>
        </is>
      </c>
      <c r="BC1112" t="inlineStr">
        <is>
          <t>32285000764208</t>
        </is>
      </c>
      <c r="BD1112" t="inlineStr">
        <is>
          <t>893866346</t>
        </is>
      </c>
    </row>
    <row r="1113">
      <c r="A1113" t="inlineStr">
        <is>
          <t>No</t>
        </is>
      </c>
      <c r="B1113" t="inlineStr">
        <is>
          <t>QD501 .I623 1986 v.3-4</t>
        </is>
      </c>
      <c r="C1113" t="inlineStr">
        <is>
          <t>0                      QD 0501000I  623         1986                                        v.3-4</t>
        </is>
      </c>
      <c r="D1113" t="inlineStr">
        <is>
          <t>The Formation of bonds to halogens / founding editor, J.J. Zuckerman ; editor, A.P. Hagen.</t>
        </is>
      </c>
      <c r="E1113" t="inlineStr">
        <is>
          <t>V.4</t>
        </is>
      </c>
      <c r="F1113" t="inlineStr">
        <is>
          <t>Yes</t>
        </is>
      </c>
      <c r="G1113" t="inlineStr">
        <is>
          <t>1</t>
        </is>
      </c>
      <c r="H1113" t="inlineStr">
        <is>
          <t>No</t>
        </is>
      </c>
      <c r="I1113" t="inlineStr">
        <is>
          <t>No</t>
        </is>
      </c>
      <c r="J1113" t="inlineStr">
        <is>
          <t>0</t>
        </is>
      </c>
      <c r="L1113" t="inlineStr">
        <is>
          <t>New York : VCH Publishers, c1989-</t>
        </is>
      </c>
      <c r="M1113" t="inlineStr">
        <is>
          <t>1989</t>
        </is>
      </c>
      <c r="O1113" t="inlineStr">
        <is>
          <t>eng</t>
        </is>
      </c>
      <c r="P1113" t="inlineStr">
        <is>
          <t>nyu</t>
        </is>
      </c>
      <c r="Q1113" t="inlineStr">
        <is>
          <t>Inorganic reactions and methods ; v. 3-4</t>
        </is>
      </c>
      <c r="R1113" t="inlineStr">
        <is>
          <t xml:space="preserve">QD </t>
        </is>
      </c>
      <c r="S1113" t="n">
        <v>5</v>
      </c>
      <c r="T1113" t="n">
        <v>7</v>
      </c>
      <c r="U1113" t="inlineStr">
        <is>
          <t>1996-09-25</t>
        </is>
      </c>
      <c r="V1113" t="inlineStr">
        <is>
          <t>1996-09-25</t>
        </is>
      </c>
      <c r="W1113" t="inlineStr">
        <is>
          <t>1991-09-27</t>
        </is>
      </c>
      <c r="X1113" t="inlineStr">
        <is>
          <t>1991-09-27</t>
        </is>
      </c>
      <c r="Y1113" t="n">
        <v>20</v>
      </c>
      <c r="Z1113" t="n">
        <v>10</v>
      </c>
      <c r="AA1113" t="n">
        <v>31</v>
      </c>
      <c r="AB1113" t="n">
        <v>1</v>
      </c>
      <c r="AC1113" t="n">
        <v>1</v>
      </c>
      <c r="AD1113" t="n">
        <v>0</v>
      </c>
      <c r="AE1113" t="n">
        <v>0</v>
      </c>
      <c r="AF1113" t="n">
        <v>0</v>
      </c>
      <c r="AG1113" t="n">
        <v>0</v>
      </c>
      <c r="AH1113" t="n">
        <v>0</v>
      </c>
      <c r="AI1113" t="n">
        <v>0</v>
      </c>
      <c r="AJ1113" t="n">
        <v>0</v>
      </c>
      <c r="AK1113" t="n">
        <v>0</v>
      </c>
      <c r="AL1113" t="n">
        <v>0</v>
      </c>
      <c r="AM1113" t="n">
        <v>0</v>
      </c>
      <c r="AN1113" t="n">
        <v>0</v>
      </c>
      <c r="AO1113" t="n">
        <v>0</v>
      </c>
      <c r="AP1113" t="inlineStr">
        <is>
          <t>No</t>
        </is>
      </c>
      <c r="AQ1113" t="inlineStr">
        <is>
          <t>No</t>
        </is>
      </c>
      <c r="AS1113">
        <f>HYPERLINK("https://creighton-primo.hosted.exlibrisgroup.com/primo-explore/search?tab=default_tab&amp;search_scope=EVERYTHING&amp;vid=01CRU&amp;lang=en_US&amp;offset=0&amp;query=any,contains,991001630029702656","Catalog Record")</f>
        <v/>
      </c>
      <c r="AT1113">
        <f>HYPERLINK("http://www.worldcat.org/oclc/20898494","WorldCat Record")</f>
        <v/>
      </c>
      <c r="AU1113" t="inlineStr">
        <is>
          <t>3856600237:eng</t>
        </is>
      </c>
      <c r="AV1113" t="inlineStr">
        <is>
          <t>20898494</t>
        </is>
      </c>
      <c r="AW1113" t="inlineStr">
        <is>
          <t>991001630029702656</t>
        </is>
      </c>
      <c r="AX1113" t="inlineStr">
        <is>
          <t>991001630029702656</t>
        </is>
      </c>
      <c r="AY1113" t="inlineStr">
        <is>
          <t>2268177900002656</t>
        </is>
      </c>
      <c r="AZ1113" t="inlineStr">
        <is>
          <t>BOOK</t>
        </is>
      </c>
      <c r="BB1113" t="inlineStr">
        <is>
          <t>9780895732538</t>
        </is>
      </c>
      <c r="BC1113" t="inlineStr">
        <is>
          <t>32285000764216</t>
        </is>
      </c>
      <c r="BD1113" t="inlineStr">
        <is>
          <t>893866345</t>
        </is>
      </c>
    </row>
    <row r="1114">
      <c r="A1114" t="inlineStr">
        <is>
          <t>No</t>
        </is>
      </c>
      <c r="B1114" t="inlineStr">
        <is>
          <t>QD501 .I623 1986 v.5, etc.</t>
        </is>
      </c>
      <c r="C1114" t="inlineStr">
        <is>
          <t>0                      QD 0501000I  623         1986                                        v.5, etc.</t>
        </is>
      </c>
      <c r="D1114" t="inlineStr">
        <is>
          <t>The Formation of bonds to Group VIB (O, S, Se, Te, Po) elements / editor A. P. Hagen ; founding editor, J. J. Zuckerman.</t>
        </is>
      </c>
      <c r="E1114" t="inlineStr">
        <is>
          <t>V.5</t>
        </is>
      </c>
      <c r="F1114" t="inlineStr">
        <is>
          <t>Yes</t>
        </is>
      </c>
      <c r="G1114" t="inlineStr">
        <is>
          <t>1</t>
        </is>
      </c>
      <c r="H1114" t="inlineStr">
        <is>
          <t>No</t>
        </is>
      </c>
      <c r="I1114" t="inlineStr">
        <is>
          <t>No</t>
        </is>
      </c>
      <c r="J1114" t="inlineStr">
        <is>
          <t>0</t>
        </is>
      </c>
      <c r="L1114" t="inlineStr">
        <is>
          <t>New York : VCH Publishers, 1991-</t>
        </is>
      </c>
      <c r="M1114" t="inlineStr">
        <is>
          <t>1991</t>
        </is>
      </c>
      <c r="O1114" t="inlineStr">
        <is>
          <t>eng</t>
        </is>
      </c>
      <c r="P1114" t="inlineStr">
        <is>
          <t>nyu</t>
        </is>
      </c>
      <c r="Q1114" t="inlineStr">
        <is>
          <t>Inorganic reactions and methods ; v. 5, 6</t>
        </is>
      </c>
      <c r="R1114" t="inlineStr">
        <is>
          <t xml:space="preserve">QD </t>
        </is>
      </c>
      <c r="S1114" t="n">
        <v>2</v>
      </c>
      <c r="T1114" t="n">
        <v>2</v>
      </c>
      <c r="U1114" t="inlineStr">
        <is>
          <t>1994-11-21</t>
        </is>
      </c>
      <c r="V1114" t="inlineStr">
        <is>
          <t>1994-11-21</t>
        </is>
      </c>
      <c r="W1114" t="inlineStr">
        <is>
          <t>1992-02-01</t>
        </is>
      </c>
      <c r="X1114" t="inlineStr">
        <is>
          <t>1992-02-01</t>
        </is>
      </c>
      <c r="Y1114" t="n">
        <v>13</v>
      </c>
      <c r="Z1114" t="n">
        <v>7</v>
      </c>
      <c r="AA1114" t="n">
        <v>32</v>
      </c>
      <c r="AB1114" t="n">
        <v>1</v>
      </c>
      <c r="AC1114" t="n">
        <v>1</v>
      </c>
      <c r="AD1114" t="n">
        <v>0</v>
      </c>
      <c r="AE1114" t="n">
        <v>0</v>
      </c>
      <c r="AF1114" t="n">
        <v>0</v>
      </c>
      <c r="AG1114" t="n">
        <v>0</v>
      </c>
      <c r="AH1114" t="n">
        <v>0</v>
      </c>
      <c r="AI1114" t="n">
        <v>0</v>
      </c>
      <c r="AJ1114" t="n">
        <v>0</v>
      </c>
      <c r="AK1114" t="n">
        <v>0</v>
      </c>
      <c r="AL1114" t="n">
        <v>0</v>
      </c>
      <c r="AM1114" t="n">
        <v>0</v>
      </c>
      <c r="AN1114" t="n">
        <v>0</v>
      </c>
      <c r="AO1114" t="n">
        <v>0</v>
      </c>
      <c r="AP1114" t="inlineStr">
        <is>
          <t>No</t>
        </is>
      </c>
      <c r="AQ1114" t="inlineStr">
        <is>
          <t>No</t>
        </is>
      </c>
      <c r="AS1114">
        <f>HYPERLINK("https://creighton-primo.hosted.exlibrisgroup.com/primo-explore/search?tab=default_tab&amp;search_scope=EVERYTHING&amp;vid=01CRU&amp;lang=en_US&amp;offset=0&amp;query=any,contains,991001977119702656","Catalog Record")</f>
        <v/>
      </c>
      <c r="AT1114">
        <f>HYPERLINK("http://www.worldcat.org/oclc/25058176","WorldCat Record")</f>
        <v/>
      </c>
      <c r="AU1114" t="inlineStr">
        <is>
          <t>3858582458:eng</t>
        </is>
      </c>
      <c r="AV1114" t="inlineStr">
        <is>
          <t>25058176</t>
        </is>
      </c>
      <c r="AW1114" t="inlineStr">
        <is>
          <t>991001977119702656</t>
        </is>
      </c>
      <c r="AX1114" t="inlineStr">
        <is>
          <t>991001977119702656</t>
        </is>
      </c>
      <c r="AY1114" t="inlineStr">
        <is>
          <t>2262785800002656</t>
        </is>
      </c>
      <c r="AZ1114" t="inlineStr">
        <is>
          <t>BOOK</t>
        </is>
      </c>
      <c r="BB1114" t="inlineStr">
        <is>
          <t>9780895732552</t>
        </is>
      </c>
      <c r="BC1114" t="inlineStr">
        <is>
          <t>32285000917681</t>
        </is>
      </c>
      <c r="BD1114" t="inlineStr">
        <is>
          <t>893779264</t>
        </is>
      </c>
    </row>
    <row r="1115">
      <c r="A1115" t="inlineStr">
        <is>
          <t>No</t>
        </is>
      </c>
      <c r="B1115" t="inlineStr">
        <is>
          <t>QD501 .I623 1986, v.2</t>
        </is>
      </c>
      <c r="C1115" t="inlineStr">
        <is>
          <t>0                      QD 0501000I  623         1986                                        v.2</t>
        </is>
      </c>
      <c r="D1115" t="inlineStr">
        <is>
          <t>The formation of the bond to hydrogen (part 2 ) / editor, J. J. Zuckerman ; subject index editor, A. P. Hagen.</t>
        </is>
      </c>
      <c r="E1115" t="inlineStr">
        <is>
          <t>V.2</t>
        </is>
      </c>
      <c r="F1115" t="inlineStr">
        <is>
          <t>No</t>
        </is>
      </c>
      <c r="G1115" t="inlineStr">
        <is>
          <t>1</t>
        </is>
      </c>
      <c r="H1115" t="inlineStr">
        <is>
          <t>No</t>
        </is>
      </c>
      <c r="I1115" t="inlineStr">
        <is>
          <t>No</t>
        </is>
      </c>
      <c r="J1115" t="inlineStr">
        <is>
          <t>0</t>
        </is>
      </c>
      <c r="L1115" t="inlineStr">
        <is>
          <t>Deerfield Beach, Fla. : VCH Publishers, c1987.</t>
        </is>
      </c>
      <c r="M1115" t="inlineStr">
        <is>
          <t>1987</t>
        </is>
      </c>
      <c r="O1115" t="inlineStr">
        <is>
          <t>eng</t>
        </is>
      </c>
      <c r="P1115" t="inlineStr">
        <is>
          <t>flu</t>
        </is>
      </c>
      <c r="Q1115" t="inlineStr">
        <is>
          <t>Inorganic reactions and methods ; v. 2</t>
        </is>
      </c>
      <c r="R1115" t="inlineStr">
        <is>
          <t xml:space="preserve">QD </t>
        </is>
      </c>
      <c r="S1115" t="n">
        <v>2</v>
      </c>
      <c r="T1115" t="n">
        <v>2</v>
      </c>
      <c r="U1115" t="inlineStr">
        <is>
          <t>1994-11-28</t>
        </is>
      </c>
      <c r="V1115" t="inlineStr">
        <is>
          <t>1994-11-28</t>
        </is>
      </c>
      <c r="W1115" t="inlineStr">
        <is>
          <t>1991-09-27</t>
        </is>
      </c>
      <c r="X1115" t="inlineStr">
        <is>
          <t>1991-09-27</t>
        </is>
      </c>
      <c r="Y1115" t="n">
        <v>6</v>
      </c>
      <c r="Z1115" t="n">
        <v>3</v>
      </c>
      <c r="AA1115" t="n">
        <v>21</v>
      </c>
      <c r="AB1115" t="n">
        <v>1</v>
      </c>
      <c r="AC1115" t="n">
        <v>1</v>
      </c>
      <c r="AD1115" t="n">
        <v>0</v>
      </c>
      <c r="AE1115" t="n">
        <v>0</v>
      </c>
      <c r="AF1115" t="n">
        <v>0</v>
      </c>
      <c r="AG1115" t="n">
        <v>0</v>
      </c>
      <c r="AH1115" t="n">
        <v>0</v>
      </c>
      <c r="AI1115" t="n">
        <v>0</v>
      </c>
      <c r="AJ1115" t="n">
        <v>0</v>
      </c>
      <c r="AK1115" t="n">
        <v>0</v>
      </c>
      <c r="AL1115" t="n">
        <v>0</v>
      </c>
      <c r="AM1115" t="n">
        <v>0</v>
      </c>
      <c r="AN1115" t="n">
        <v>0</v>
      </c>
      <c r="AO1115" t="n">
        <v>0</v>
      </c>
      <c r="AP1115" t="inlineStr">
        <is>
          <t>No</t>
        </is>
      </c>
      <c r="AQ1115" t="inlineStr">
        <is>
          <t>No</t>
        </is>
      </c>
      <c r="AS1115">
        <f>HYPERLINK("https://creighton-primo.hosted.exlibrisgroup.com/primo-explore/search?tab=default_tab&amp;search_scope=EVERYTHING&amp;vid=01CRU&amp;lang=en_US&amp;offset=0&amp;query=any,contains,991001363419702656","Catalog Record")</f>
        <v/>
      </c>
      <c r="AT1115">
        <f>HYPERLINK("http://www.worldcat.org/oclc/18542022","WorldCat Record")</f>
        <v/>
      </c>
      <c r="AU1115" t="inlineStr">
        <is>
          <t>8907632851:eng</t>
        </is>
      </c>
      <c r="AV1115" t="inlineStr">
        <is>
          <t>18542022</t>
        </is>
      </c>
      <c r="AW1115" t="inlineStr">
        <is>
          <t>991001363419702656</t>
        </is>
      </c>
      <c r="AX1115" t="inlineStr">
        <is>
          <t>991001363419702656</t>
        </is>
      </c>
      <c r="AY1115" t="inlineStr">
        <is>
          <t>2266206340002656</t>
        </is>
      </c>
      <c r="AZ1115" t="inlineStr">
        <is>
          <t>BOOK</t>
        </is>
      </c>
      <c r="BB1115" t="inlineStr">
        <is>
          <t>9780895732521</t>
        </is>
      </c>
      <c r="BC1115" t="inlineStr">
        <is>
          <t>32285000764190</t>
        </is>
      </c>
      <c r="BD1115" t="inlineStr">
        <is>
          <t>893414189</t>
        </is>
      </c>
    </row>
    <row r="1116">
      <c r="A1116" t="inlineStr">
        <is>
          <t>No</t>
        </is>
      </c>
      <c r="B1116" t="inlineStr">
        <is>
          <t>QD501 .I623 1986, v.9-12</t>
        </is>
      </c>
      <c r="C1116" t="inlineStr">
        <is>
          <t>0                      QD 0501000I  623         1986                                        v.9-12</t>
        </is>
      </c>
      <c r="D1116" t="inlineStr">
        <is>
          <t>Formation of bonds to C, Si, Ge, Sn, Pb / editor J.J. Zuckerman ; subject index editor A.P. Hagen.</t>
        </is>
      </c>
      <c r="E1116" t="inlineStr">
        <is>
          <t>V.12A</t>
        </is>
      </c>
      <c r="F1116" t="inlineStr">
        <is>
          <t>Yes</t>
        </is>
      </c>
      <c r="G1116" t="inlineStr">
        <is>
          <t>1</t>
        </is>
      </c>
      <c r="H1116" t="inlineStr">
        <is>
          <t>No</t>
        </is>
      </c>
      <c r="I1116" t="inlineStr">
        <is>
          <t>No</t>
        </is>
      </c>
      <c r="J1116" t="inlineStr">
        <is>
          <t>0</t>
        </is>
      </c>
      <c r="L1116" t="inlineStr">
        <is>
          <t>New York, N.Y. : VCH Publishers, c1988-</t>
        </is>
      </c>
      <c r="M1116" t="inlineStr">
        <is>
          <t>1988</t>
        </is>
      </c>
      <c r="O1116" t="inlineStr">
        <is>
          <t>eng</t>
        </is>
      </c>
      <c r="P1116" t="inlineStr">
        <is>
          <t>nyu</t>
        </is>
      </c>
      <c r="Q1116" t="inlineStr">
        <is>
          <t>Inorganic reactions and methods ; 9-12</t>
        </is>
      </c>
      <c r="R1116" t="inlineStr">
        <is>
          <t xml:space="preserve">QD </t>
        </is>
      </c>
      <c r="S1116" t="n">
        <v>2</v>
      </c>
      <c r="T1116" t="n">
        <v>4</v>
      </c>
      <c r="U1116" t="inlineStr">
        <is>
          <t>1994-11-21</t>
        </is>
      </c>
      <c r="V1116" t="inlineStr">
        <is>
          <t>1994-11-28</t>
        </is>
      </c>
      <c r="W1116" t="inlineStr">
        <is>
          <t>1991-09-27</t>
        </is>
      </c>
      <c r="X1116" t="inlineStr">
        <is>
          <t>1992-01-24</t>
        </is>
      </c>
      <c r="Y1116" t="n">
        <v>18</v>
      </c>
      <c r="Z1116" t="n">
        <v>11</v>
      </c>
      <c r="AA1116" t="n">
        <v>36</v>
      </c>
      <c r="AB1116" t="n">
        <v>1</v>
      </c>
      <c r="AC1116" t="n">
        <v>1</v>
      </c>
      <c r="AD1116" t="n">
        <v>0</v>
      </c>
      <c r="AE1116" t="n">
        <v>0</v>
      </c>
      <c r="AF1116" t="n">
        <v>0</v>
      </c>
      <c r="AG1116" t="n">
        <v>0</v>
      </c>
      <c r="AH1116" t="n">
        <v>0</v>
      </c>
      <c r="AI1116" t="n">
        <v>0</v>
      </c>
      <c r="AJ1116" t="n">
        <v>0</v>
      </c>
      <c r="AK1116" t="n">
        <v>0</v>
      </c>
      <c r="AL1116" t="n">
        <v>0</v>
      </c>
      <c r="AM1116" t="n">
        <v>0</v>
      </c>
      <c r="AN1116" t="n">
        <v>0</v>
      </c>
      <c r="AO1116" t="n">
        <v>0</v>
      </c>
      <c r="AP1116" t="inlineStr">
        <is>
          <t>No</t>
        </is>
      </c>
      <c r="AQ1116" t="inlineStr">
        <is>
          <t>No</t>
        </is>
      </c>
      <c r="AS1116">
        <f>HYPERLINK("https://creighton-primo.hosted.exlibrisgroup.com/primo-explore/search?tab=default_tab&amp;search_scope=EVERYTHING&amp;vid=01CRU&amp;lang=en_US&amp;offset=0&amp;query=any,contains,991001287539702656","Catalog Record")</f>
        <v/>
      </c>
      <c r="AT1116">
        <f>HYPERLINK("http://www.worldcat.org/oclc/17972620","WorldCat Record")</f>
        <v/>
      </c>
      <c r="AU1116" t="inlineStr">
        <is>
          <t>4095590496:eng</t>
        </is>
      </c>
      <c r="AV1116" t="inlineStr">
        <is>
          <t>17972620</t>
        </is>
      </c>
      <c r="AW1116" t="inlineStr">
        <is>
          <t>991001287539702656</t>
        </is>
      </c>
      <c r="AX1116" t="inlineStr">
        <is>
          <t>991001287539702656</t>
        </is>
      </c>
      <c r="AY1116" t="inlineStr">
        <is>
          <t>2257724710002656</t>
        </is>
      </c>
      <c r="AZ1116" t="inlineStr">
        <is>
          <t>BOOK</t>
        </is>
      </c>
      <c r="BB1116" t="inlineStr">
        <is>
          <t>9780895732613</t>
        </is>
      </c>
      <c r="BC1116" t="inlineStr">
        <is>
          <t>32285000764257</t>
        </is>
      </c>
      <c r="BD1116" t="inlineStr">
        <is>
          <t>893503289</t>
        </is>
      </c>
    </row>
    <row r="1117">
      <c r="A1117" t="inlineStr">
        <is>
          <t>No</t>
        </is>
      </c>
      <c r="B1117" t="inlineStr">
        <is>
          <t>QD501 .I623 1986, v.9-12</t>
        </is>
      </c>
      <c r="C1117" t="inlineStr">
        <is>
          <t>0                      QD 0501000I  623         1986                                        v.9-12</t>
        </is>
      </c>
      <c r="D1117" t="inlineStr">
        <is>
          <t>Formation of bonds to C, Si, Ge, Sn, Pb / editor J.J. Zuckerman ; subject index editor A.P. Hagen.</t>
        </is>
      </c>
      <c r="E1117" t="inlineStr">
        <is>
          <t>V.12B</t>
        </is>
      </c>
      <c r="F1117" t="inlineStr">
        <is>
          <t>Yes</t>
        </is>
      </c>
      <c r="G1117" t="inlineStr">
        <is>
          <t>1</t>
        </is>
      </c>
      <c r="H1117" t="inlineStr">
        <is>
          <t>No</t>
        </is>
      </c>
      <c r="I1117" t="inlineStr">
        <is>
          <t>No</t>
        </is>
      </c>
      <c r="J1117" t="inlineStr">
        <is>
          <t>0</t>
        </is>
      </c>
      <c r="L1117" t="inlineStr">
        <is>
          <t>New York, N.Y. : VCH Publishers, c1988-</t>
        </is>
      </c>
      <c r="M1117" t="inlineStr">
        <is>
          <t>1988</t>
        </is>
      </c>
      <c r="O1117" t="inlineStr">
        <is>
          <t>eng</t>
        </is>
      </c>
      <c r="P1117" t="inlineStr">
        <is>
          <t>nyu</t>
        </is>
      </c>
      <c r="Q1117" t="inlineStr">
        <is>
          <t>Inorganic reactions and methods ; 9-12</t>
        </is>
      </c>
      <c r="R1117" t="inlineStr">
        <is>
          <t xml:space="preserve">QD </t>
        </is>
      </c>
      <c r="S1117" t="n">
        <v>0</v>
      </c>
      <c r="T1117" t="n">
        <v>4</v>
      </c>
      <c r="V1117" t="inlineStr">
        <is>
          <t>1994-11-28</t>
        </is>
      </c>
      <c r="W1117" t="inlineStr">
        <is>
          <t>1991-09-27</t>
        </is>
      </c>
      <c r="X1117" t="inlineStr">
        <is>
          <t>1992-01-24</t>
        </is>
      </c>
      <c r="Y1117" t="n">
        <v>18</v>
      </c>
      <c r="Z1117" t="n">
        <v>11</v>
      </c>
      <c r="AA1117" t="n">
        <v>36</v>
      </c>
      <c r="AB1117" t="n">
        <v>1</v>
      </c>
      <c r="AC1117" t="n">
        <v>1</v>
      </c>
      <c r="AD1117" t="n">
        <v>0</v>
      </c>
      <c r="AE1117" t="n">
        <v>0</v>
      </c>
      <c r="AF1117" t="n">
        <v>0</v>
      </c>
      <c r="AG1117" t="n">
        <v>0</v>
      </c>
      <c r="AH1117" t="n">
        <v>0</v>
      </c>
      <c r="AI1117" t="n">
        <v>0</v>
      </c>
      <c r="AJ1117" t="n">
        <v>0</v>
      </c>
      <c r="AK1117" t="n">
        <v>0</v>
      </c>
      <c r="AL1117" t="n">
        <v>0</v>
      </c>
      <c r="AM1117" t="n">
        <v>0</v>
      </c>
      <c r="AN1117" t="n">
        <v>0</v>
      </c>
      <c r="AO1117" t="n">
        <v>0</v>
      </c>
      <c r="AP1117" t="inlineStr">
        <is>
          <t>No</t>
        </is>
      </c>
      <c r="AQ1117" t="inlineStr">
        <is>
          <t>No</t>
        </is>
      </c>
      <c r="AS1117">
        <f>HYPERLINK("https://creighton-primo.hosted.exlibrisgroup.com/primo-explore/search?tab=default_tab&amp;search_scope=EVERYTHING&amp;vid=01CRU&amp;lang=en_US&amp;offset=0&amp;query=any,contains,991001287539702656","Catalog Record")</f>
        <v/>
      </c>
      <c r="AT1117">
        <f>HYPERLINK("http://www.worldcat.org/oclc/17972620","WorldCat Record")</f>
        <v/>
      </c>
      <c r="AU1117" t="inlineStr">
        <is>
          <t>4095590496:eng</t>
        </is>
      </c>
      <c r="AV1117" t="inlineStr">
        <is>
          <t>17972620</t>
        </is>
      </c>
      <c r="AW1117" t="inlineStr">
        <is>
          <t>991001287539702656</t>
        </is>
      </c>
      <c r="AX1117" t="inlineStr">
        <is>
          <t>991001287539702656</t>
        </is>
      </c>
      <c r="AY1117" t="inlineStr">
        <is>
          <t>2257724710002656</t>
        </is>
      </c>
      <c r="AZ1117" t="inlineStr">
        <is>
          <t>BOOK</t>
        </is>
      </c>
      <c r="BB1117" t="inlineStr">
        <is>
          <t>9780895732613</t>
        </is>
      </c>
      <c r="BC1117" t="inlineStr">
        <is>
          <t>32285000764265</t>
        </is>
      </c>
      <c r="BD1117" t="inlineStr">
        <is>
          <t>893528849</t>
        </is>
      </c>
    </row>
    <row r="1118">
      <c r="A1118" t="inlineStr">
        <is>
          <t>No</t>
        </is>
      </c>
      <c r="B1118" t="inlineStr">
        <is>
          <t>QD501 .I623 1986, v.9-12</t>
        </is>
      </c>
      <c r="C1118" t="inlineStr">
        <is>
          <t>0                      QD 0501000I  623         1986                                        v.9-12</t>
        </is>
      </c>
      <c r="D1118" t="inlineStr">
        <is>
          <t>Formation of bonds to C, Si, Ge, Sn, Pb / editor J.J. Zuckerman ; subject index editor A.P. Hagen.</t>
        </is>
      </c>
      <c r="E1118" t="inlineStr">
        <is>
          <t>V.9</t>
        </is>
      </c>
      <c r="F1118" t="inlineStr">
        <is>
          <t>Yes</t>
        </is>
      </c>
      <c r="G1118" t="inlineStr">
        <is>
          <t>1</t>
        </is>
      </c>
      <c r="H1118" t="inlineStr">
        <is>
          <t>No</t>
        </is>
      </c>
      <c r="I1118" t="inlineStr">
        <is>
          <t>No</t>
        </is>
      </c>
      <c r="J1118" t="inlineStr">
        <is>
          <t>0</t>
        </is>
      </c>
      <c r="L1118" t="inlineStr">
        <is>
          <t>New York, N.Y. : VCH Publishers, c1988-</t>
        </is>
      </c>
      <c r="M1118" t="inlineStr">
        <is>
          <t>1988</t>
        </is>
      </c>
      <c r="O1118" t="inlineStr">
        <is>
          <t>eng</t>
        </is>
      </c>
      <c r="P1118" t="inlineStr">
        <is>
          <t>nyu</t>
        </is>
      </c>
      <c r="Q1118" t="inlineStr">
        <is>
          <t>Inorganic reactions and methods ; 9-12</t>
        </is>
      </c>
      <c r="R1118" t="inlineStr">
        <is>
          <t xml:space="preserve">QD </t>
        </is>
      </c>
      <c r="S1118" t="n">
        <v>1</v>
      </c>
      <c r="T1118" t="n">
        <v>4</v>
      </c>
      <c r="U1118" t="inlineStr">
        <is>
          <t>1994-11-28</t>
        </is>
      </c>
      <c r="V1118" t="inlineStr">
        <is>
          <t>1994-11-28</t>
        </is>
      </c>
      <c r="W1118" t="inlineStr">
        <is>
          <t>1992-01-24</t>
        </is>
      </c>
      <c r="X1118" t="inlineStr">
        <is>
          <t>1992-01-24</t>
        </is>
      </c>
      <c r="Y1118" t="n">
        <v>18</v>
      </c>
      <c r="Z1118" t="n">
        <v>11</v>
      </c>
      <c r="AA1118" t="n">
        <v>36</v>
      </c>
      <c r="AB1118" t="n">
        <v>1</v>
      </c>
      <c r="AC1118" t="n">
        <v>1</v>
      </c>
      <c r="AD1118" t="n">
        <v>0</v>
      </c>
      <c r="AE1118" t="n">
        <v>0</v>
      </c>
      <c r="AF1118" t="n">
        <v>0</v>
      </c>
      <c r="AG1118" t="n">
        <v>0</v>
      </c>
      <c r="AH1118" t="n">
        <v>0</v>
      </c>
      <c r="AI1118" t="n">
        <v>0</v>
      </c>
      <c r="AJ1118" t="n">
        <v>0</v>
      </c>
      <c r="AK1118" t="n">
        <v>0</v>
      </c>
      <c r="AL1118" t="n">
        <v>0</v>
      </c>
      <c r="AM1118" t="n">
        <v>0</v>
      </c>
      <c r="AN1118" t="n">
        <v>0</v>
      </c>
      <c r="AO1118" t="n">
        <v>0</v>
      </c>
      <c r="AP1118" t="inlineStr">
        <is>
          <t>No</t>
        </is>
      </c>
      <c r="AQ1118" t="inlineStr">
        <is>
          <t>No</t>
        </is>
      </c>
      <c r="AS1118">
        <f>HYPERLINK("https://creighton-primo.hosted.exlibrisgroup.com/primo-explore/search?tab=default_tab&amp;search_scope=EVERYTHING&amp;vid=01CRU&amp;lang=en_US&amp;offset=0&amp;query=any,contains,991001287539702656","Catalog Record")</f>
        <v/>
      </c>
      <c r="AT1118">
        <f>HYPERLINK("http://www.worldcat.org/oclc/17972620","WorldCat Record")</f>
        <v/>
      </c>
      <c r="AU1118" t="inlineStr">
        <is>
          <t>4095590496:eng</t>
        </is>
      </c>
      <c r="AV1118" t="inlineStr">
        <is>
          <t>17972620</t>
        </is>
      </c>
      <c r="AW1118" t="inlineStr">
        <is>
          <t>991001287539702656</t>
        </is>
      </c>
      <c r="AX1118" t="inlineStr">
        <is>
          <t>991001287539702656</t>
        </is>
      </c>
      <c r="AY1118" t="inlineStr">
        <is>
          <t>2257724710002656</t>
        </is>
      </c>
      <c r="AZ1118" t="inlineStr">
        <is>
          <t>BOOK</t>
        </is>
      </c>
      <c r="BB1118" t="inlineStr">
        <is>
          <t>9780895732613</t>
        </is>
      </c>
      <c r="BC1118" t="inlineStr">
        <is>
          <t>32285000917699</t>
        </is>
      </c>
      <c r="BD1118" t="inlineStr">
        <is>
          <t>893528848</t>
        </is>
      </c>
    </row>
    <row r="1119">
      <c r="A1119" t="inlineStr">
        <is>
          <t>No</t>
        </is>
      </c>
      <c r="B1119" t="inlineStr">
        <is>
          <t>QD501 .I623 1986, v.9-12</t>
        </is>
      </c>
      <c r="C1119" t="inlineStr">
        <is>
          <t>0                      QD 0501000I  623         1986                                        v.9-12</t>
        </is>
      </c>
      <c r="D1119" t="inlineStr">
        <is>
          <t>Formation of bonds to C, Si, Ge, Sn, Pb / editor J.J. Zuckerman ; subject index editor A.P. Hagen.</t>
        </is>
      </c>
      <c r="E1119" t="inlineStr">
        <is>
          <t>V.11</t>
        </is>
      </c>
      <c r="F1119" t="inlineStr">
        <is>
          <t>Yes</t>
        </is>
      </c>
      <c r="G1119" t="inlineStr">
        <is>
          <t>1</t>
        </is>
      </c>
      <c r="H1119" t="inlineStr">
        <is>
          <t>No</t>
        </is>
      </c>
      <c r="I1119" t="inlineStr">
        <is>
          <t>No</t>
        </is>
      </c>
      <c r="J1119" t="inlineStr">
        <is>
          <t>0</t>
        </is>
      </c>
      <c r="L1119" t="inlineStr">
        <is>
          <t>New York, N.Y. : VCH Publishers, c1988-</t>
        </is>
      </c>
      <c r="M1119" t="inlineStr">
        <is>
          <t>1988</t>
        </is>
      </c>
      <c r="O1119" t="inlineStr">
        <is>
          <t>eng</t>
        </is>
      </c>
      <c r="P1119" t="inlineStr">
        <is>
          <t>nyu</t>
        </is>
      </c>
      <c r="Q1119" t="inlineStr">
        <is>
          <t>Inorganic reactions and methods ; 9-12</t>
        </is>
      </c>
      <c r="R1119" t="inlineStr">
        <is>
          <t xml:space="preserve">QD </t>
        </is>
      </c>
      <c r="S1119" t="n">
        <v>0</v>
      </c>
      <c r="T1119" t="n">
        <v>4</v>
      </c>
      <c r="V1119" t="inlineStr">
        <is>
          <t>1994-11-28</t>
        </is>
      </c>
      <c r="W1119" t="inlineStr">
        <is>
          <t>1991-09-27</t>
        </is>
      </c>
      <c r="X1119" t="inlineStr">
        <is>
          <t>1992-01-24</t>
        </is>
      </c>
      <c r="Y1119" t="n">
        <v>18</v>
      </c>
      <c r="Z1119" t="n">
        <v>11</v>
      </c>
      <c r="AA1119" t="n">
        <v>36</v>
      </c>
      <c r="AB1119" t="n">
        <v>1</v>
      </c>
      <c r="AC1119" t="n">
        <v>1</v>
      </c>
      <c r="AD1119" t="n">
        <v>0</v>
      </c>
      <c r="AE1119" t="n">
        <v>0</v>
      </c>
      <c r="AF1119" t="n">
        <v>0</v>
      </c>
      <c r="AG1119" t="n">
        <v>0</v>
      </c>
      <c r="AH1119" t="n">
        <v>0</v>
      </c>
      <c r="AI1119" t="n">
        <v>0</v>
      </c>
      <c r="AJ1119" t="n">
        <v>0</v>
      </c>
      <c r="AK1119" t="n">
        <v>0</v>
      </c>
      <c r="AL1119" t="n">
        <v>0</v>
      </c>
      <c r="AM1119" t="n">
        <v>0</v>
      </c>
      <c r="AN1119" t="n">
        <v>0</v>
      </c>
      <c r="AO1119" t="n">
        <v>0</v>
      </c>
      <c r="AP1119" t="inlineStr">
        <is>
          <t>No</t>
        </is>
      </c>
      <c r="AQ1119" t="inlineStr">
        <is>
          <t>No</t>
        </is>
      </c>
      <c r="AS1119">
        <f>HYPERLINK("https://creighton-primo.hosted.exlibrisgroup.com/primo-explore/search?tab=default_tab&amp;search_scope=EVERYTHING&amp;vid=01CRU&amp;lang=en_US&amp;offset=0&amp;query=any,contains,991001287539702656","Catalog Record")</f>
        <v/>
      </c>
      <c r="AT1119">
        <f>HYPERLINK("http://www.worldcat.org/oclc/17972620","WorldCat Record")</f>
        <v/>
      </c>
      <c r="AU1119" t="inlineStr">
        <is>
          <t>4095590496:eng</t>
        </is>
      </c>
      <c r="AV1119" t="inlineStr">
        <is>
          <t>17972620</t>
        </is>
      </c>
      <c r="AW1119" t="inlineStr">
        <is>
          <t>991001287539702656</t>
        </is>
      </c>
      <c r="AX1119" t="inlineStr">
        <is>
          <t>991001287539702656</t>
        </is>
      </c>
      <c r="AY1119" t="inlineStr">
        <is>
          <t>2257724710002656</t>
        </is>
      </c>
      <c r="AZ1119" t="inlineStr">
        <is>
          <t>BOOK</t>
        </is>
      </c>
      <c r="BB1119" t="inlineStr">
        <is>
          <t>9780895732613</t>
        </is>
      </c>
      <c r="BC1119" t="inlineStr">
        <is>
          <t>32285000764240</t>
        </is>
      </c>
      <c r="BD1119" t="inlineStr">
        <is>
          <t>893503288</t>
        </is>
      </c>
    </row>
    <row r="1120">
      <c r="A1120" t="inlineStr">
        <is>
          <t>No</t>
        </is>
      </c>
      <c r="B1120" t="inlineStr">
        <is>
          <t>QD501 .I623 1986, v.9-12</t>
        </is>
      </c>
      <c r="C1120" t="inlineStr">
        <is>
          <t>0                      QD 0501000I  623         1986                                        v.9-12</t>
        </is>
      </c>
      <c r="D1120" t="inlineStr">
        <is>
          <t>Formation of bonds to C, Si, Ge, Sn, Pb / editor J.J. Zuckerman ; subject index editor A.P. Hagen.</t>
        </is>
      </c>
      <c r="E1120" t="inlineStr">
        <is>
          <t>V.10</t>
        </is>
      </c>
      <c r="F1120" t="inlineStr">
        <is>
          <t>Yes</t>
        </is>
      </c>
      <c r="G1120" t="inlineStr">
        <is>
          <t>1</t>
        </is>
      </c>
      <c r="H1120" t="inlineStr">
        <is>
          <t>No</t>
        </is>
      </c>
      <c r="I1120" t="inlineStr">
        <is>
          <t>No</t>
        </is>
      </c>
      <c r="J1120" t="inlineStr">
        <is>
          <t>0</t>
        </is>
      </c>
      <c r="L1120" t="inlineStr">
        <is>
          <t>New York, N.Y. : VCH Publishers, c1988-</t>
        </is>
      </c>
      <c r="M1120" t="inlineStr">
        <is>
          <t>1988</t>
        </is>
      </c>
      <c r="O1120" t="inlineStr">
        <is>
          <t>eng</t>
        </is>
      </c>
      <c r="P1120" t="inlineStr">
        <is>
          <t>nyu</t>
        </is>
      </c>
      <c r="Q1120" t="inlineStr">
        <is>
          <t>Inorganic reactions and methods ; 9-12</t>
        </is>
      </c>
      <c r="R1120" t="inlineStr">
        <is>
          <t xml:space="preserve">QD </t>
        </is>
      </c>
      <c r="S1120" t="n">
        <v>1</v>
      </c>
      <c r="T1120" t="n">
        <v>4</v>
      </c>
      <c r="U1120" t="inlineStr">
        <is>
          <t>1994-11-28</t>
        </is>
      </c>
      <c r="V1120" t="inlineStr">
        <is>
          <t>1994-11-28</t>
        </is>
      </c>
      <c r="W1120" t="inlineStr">
        <is>
          <t>1991-09-27</t>
        </is>
      </c>
      <c r="X1120" t="inlineStr">
        <is>
          <t>1992-01-24</t>
        </is>
      </c>
      <c r="Y1120" t="n">
        <v>18</v>
      </c>
      <c r="Z1120" t="n">
        <v>11</v>
      </c>
      <c r="AA1120" t="n">
        <v>36</v>
      </c>
      <c r="AB1120" t="n">
        <v>1</v>
      </c>
      <c r="AC1120" t="n">
        <v>1</v>
      </c>
      <c r="AD1120" t="n">
        <v>0</v>
      </c>
      <c r="AE1120" t="n">
        <v>0</v>
      </c>
      <c r="AF1120" t="n">
        <v>0</v>
      </c>
      <c r="AG1120" t="n">
        <v>0</v>
      </c>
      <c r="AH1120" t="n">
        <v>0</v>
      </c>
      <c r="AI1120" t="n">
        <v>0</v>
      </c>
      <c r="AJ1120" t="n">
        <v>0</v>
      </c>
      <c r="AK1120" t="n">
        <v>0</v>
      </c>
      <c r="AL1120" t="n">
        <v>0</v>
      </c>
      <c r="AM1120" t="n">
        <v>0</v>
      </c>
      <c r="AN1120" t="n">
        <v>0</v>
      </c>
      <c r="AO1120" t="n">
        <v>0</v>
      </c>
      <c r="AP1120" t="inlineStr">
        <is>
          <t>No</t>
        </is>
      </c>
      <c r="AQ1120" t="inlineStr">
        <is>
          <t>No</t>
        </is>
      </c>
      <c r="AS1120">
        <f>HYPERLINK("https://creighton-primo.hosted.exlibrisgroup.com/primo-explore/search?tab=default_tab&amp;search_scope=EVERYTHING&amp;vid=01CRU&amp;lang=en_US&amp;offset=0&amp;query=any,contains,991001287539702656","Catalog Record")</f>
        <v/>
      </c>
      <c r="AT1120">
        <f>HYPERLINK("http://www.worldcat.org/oclc/17972620","WorldCat Record")</f>
        <v/>
      </c>
      <c r="AU1120" t="inlineStr">
        <is>
          <t>4095590496:eng</t>
        </is>
      </c>
      <c r="AV1120" t="inlineStr">
        <is>
          <t>17972620</t>
        </is>
      </c>
      <c r="AW1120" t="inlineStr">
        <is>
          <t>991001287539702656</t>
        </is>
      </c>
      <c r="AX1120" t="inlineStr">
        <is>
          <t>991001287539702656</t>
        </is>
      </c>
      <c r="AY1120" t="inlineStr">
        <is>
          <t>2257724710002656</t>
        </is>
      </c>
      <c r="AZ1120" t="inlineStr">
        <is>
          <t>BOOK</t>
        </is>
      </c>
      <c r="BB1120" t="inlineStr">
        <is>
          <t>9780895732613</t>
        </is>
      </c>
      <c r="BC1120" t="inlineStr">
        <is>
          <t>32285000764232</t>
        </is>
      </c>
      <c r="BD1120" t="inlineStr">
        <is>
          <t>893503287</t>
        </is>
      </c>
    </row>
    <row r="1121">
      <c r="A1121" t="inlineStr">
        <is>
          <t>No</t>
        </is>
      </c>
      <c r="B1121" t="inlineStr">
        <is>
          <t>QD501 .J7573</t>
        </is>
      </c>
      <c r="C1121" t="inlineStr">
        <is>
          <t>0                      QD 0501000J  7573</t>
        </is>
      </c>
      <c r="D1121" t="inlineStr">
        <is>
          <t>Chemical kinetics and transport / Peter C. Jordan.</t>
        </is>
      </c>
      <c r="F1121" t="inlineStr">
        <is>
          <t>No</t>
        </is>
      </c>
      <c r="G1121" t="inlineStr">
        <is>
          <t>1</t>
        </is>
      </c>
      <c r="H1121" t="inlineStr">
        <is>
          <t>No</t>
        </is>
      </c>
      <c r="I1121" t="inlineStr">
        <is>
          <t>No</t>
        </is>
      </c>
      <c r="J1121" t="inlineStr">
        <is>
          <t>0</t>
        </is>
      </c>
      <c r="K1121" t="inlineStr">
        <is>
          <t>Jordan, Peter C.</t>
        </is>
      </c>
      <c r="L1121" t="inlineStr">
        <is>
          <t>New York : Plenum Press, c1979.</t>
        </is>
      </c>
      <c r="M1121" t="inlineStr">
        <is>
          <t>1979</t>
        </is>
      </c>
      <c r="O1121" t="inlineStr">
        <is>
          <t>eng</t>
        </is>
      </c>
      <c r="P1121" t="inlineStr">
        <is>
          <t>nyu</t>
        </is>
      </c>
      <c r="R1121" t="inlineStr">
        <is>
          <t xml:space="preserve">QD </t>
        </is>
      </c>
      <c r="S1121" t="n">
        <v>2</v>
      </c>
      <c r="T1121" t="n">
        <v>2</v>
      </c>
      <c r="U1121" t="inlineStr">
        <is>
          <t>1995-03-01</t>
        </is>
      </c>
      <c r="V1121" t="inlineStr">
        <is>
          <t>1995-03-01</t>
        </is>
      </c>
      <c r="W1121" t="inlineStr">
        <is>
          <t>1990-08-15</t>
        </is>
      </c>
      <c r="X1121" t="inlineStr">
        <is>
          <t>1990-08-15</t>
        </is>
      </c>
      <c r="Y1121" t="n">
        <v>504</v>
      </c>
      <c r="Z1121" t="n">
        <v>380</v>
      </c>
      <c r="AA1121" t="n">
        <v>395</v>
      </c>
      <c r="AB1121" t="n">
        <v>4</v>
      </c>
      <c r="AC1121" t="n">
        <v>4</v>
      </c>
      <c r="AD1121" t="n">
        <v>16</v>
      </c>
      <c r="AE1121" t="n">
        <v>17</v>
      </c>
      <c r="AF1121" t="n">
        <v>4</v>
      </c>
      <c r="AG1121" t="n">
        <v>5</v>
      </c>
      <c r="AH1121" t="n">
        <v>5</v>
      </c>
      <c r="AI1121" t="n">
        <v>5</v>
      </c>
      <c r="AJ1121" t="n">
        <v>8</v>
      </c>
      <c r="AK1121" t="n">
        <v>9</v>
      </c>
      <c r="AL1121" t="n">
        <v>3</v>
      </c>
      <c r="AM1121" t="n">
        <v>3</v>
      </c>
      <c r="AN1121" t="n">
        <v>0</v>
      </c>
      <c r="AO1121" t="n">
        <v>0</v>
      </c>
      <c r="AP1121" t="inlineStr">
        <is>
          <t>No</t>
        </is>
      </c>
      <c r="AQ1121" t="inlineStr">
        <is>
          <t>No</t>
        </is>
      </c>
      <c r="AS1121">
        <f>HYPERLINK("https://creighton-primo.hosted.exlibrisgroup.com/primo-explore/search?tab=default_tab&amp;search_scope=EVERYTHING&amp;vid=01CRU&amp;lang=en_US&amp;offset=0&amp;query=any,contains,991004686899702656","Catalog Record")</f>
        <v/>
      </c>
      <c r="AT1121">
        <f>HYPERLINK("http://www.worldcat.org/oclc/4593277","WorldCat Record")</f>
        <v/>
      </c>
      <c r="AU1121" t="inlineStr">
        <is>
          <t>437072:eng</t>
        </is>
      </c>
      <c r="AV1121" t="inlineStr">
        <is>
          <t>4593277</t>
        </is>
      </c>
      <c r="AW1121" t="inlineStr">
        <is>
          <t>991004686899702656</t>
        </is>
      </c>
      <c r="AX1121" t="inlineStr">
        <is>
          <t>991004686899702656</t>
        </is>
      </c>
      <c r="AY1121" t="inlineStr">
        <is>
          <t>2271051560002656</t>
        </is>
      </c>
      <c r="AZ1121" t="inlineStr">
        <is>
          <t>BOOK</t>
        </is>
      </c>
      <c r="BB1121" t="inlineStr">
        <is>
          <t>9780306401220</t>
        </is>
      </c>
      <c r="BC1121" t="inlineStr">
        <is>
          <t>32285000269075</t>
        </is>
      </c>
      <c r="BD1121" t="inlineStr">
        <is>
          <t>893719236</t>
        </is>
      </c>
    </row>
    <row r="1122">
      <c r="A1122" t="inlineStr">
        <is>
          <t>No</t>
        </is>
      </c>
      <c r="B1122" t="inlineStr">
        <is>
          <t>QD501 .K44 2003</t>
        </is>
      </c>
      <c r="C1122" t="inlineStr">
        <is>
          <t>0                      QD 0501000K  44          2003</t>
        </is>
      </c>
      <c r="D1122" t="inlineStr">
        <is>
          <t>Why chemical reactions happen / James Keeler and Peter Wothers.</t>
        </is>
      </c>
      <c r="F1122" t="inlineStr">
        <is>
          <t>No</t>
        </is>
      </c>
      <c r="G1122" t="inlineStr">
        <is>
          <t>1</t>
        </is>
      </c>
      <c r="H1122" t="inlineStr">
        <is>
          <t>No</t>
        </is>
      </c>
      <c r="I1122" t="inlineStr">
        <is>
          <t>No</t>
        </is>
      </c>
      <c r="J1122" t="inlineStr">
        <is>
          <t>0</t>
        </is>
      </c>
      <c r="K1122" t="inlineStr">
        <is>
          <t>Keeler, James.</t>
        </is>
      </c>
      <c r="L1122" t="inlineStr">
        <is>
          <t>Oxford : Oxford University Press, 2003.</t>
        </is>
      </c>
      <c r="M1122" t="inlineStr">
        <is>
          <t>2003</t>
        </is>
      </c>
      <c r="O1122" t="inlineStr">
        <is>
          <t>eng</t>
        </is>
      </c>
      <c r="P1122" t="inlineStr">
        <is>
          <t>enk</t>
        </is>
      </c>
      <c r="R1122" t="inlineStr">
        <is>
          <t xml:space="preserve">QD </t>
        </is>
      </c>
      <c r="S1122" t="n">
        <v>1</v>
      </c>
      <c r="T1122" t="n">
        <v>1</v>
      </c>
      <c r="U1122" t="inlineStr">
        <is>
          <t>2005-03-14</t>
        </is>
      </c>
      <c r="V1122" t="inlineStr">
        <is>
          <t>2005-03-14</t>
        </is>
      </c>
      <c r="W1122" t="inlineStr">
        <is>
          <t>2005-03-14</t>
        </is>
      </c>
      <c r="X1122" t="inlineStr">
        <is>
          <t>2005-03-14</t>
        </is>
      </c>
      <c r="Y1122" t="n">
        <v>362</v>
      </c>
      <c r="Z1122" t="n">
        <v>221</v>
      </c>
      <c r="AA1122" t="n">
        <v>315</v>
      </c>
      <c r="AB1122" t="n">
        <v>3</v>
      </c>
      <c r="AC1122" t="n">
        <v>4</v>
      </c>
      <c r="AD1122" t="n">
        <v>12</v>
      </c>
      <c r="AE1122" t="n">
        <v>18</v>
      </c>
      <c r="AF1122" t="n">
        <v>2</v>
      </c>
      <c r="AG1122" t="n">
        <v>5</v>
      </c>
      <c r="AH1122" t="n">
        <v>7</v>
      </c>
      <c r="AI1122" t="n">
        <v>8</v>
      </c>
      <c r="AJ1122" t="n">
        <v>6</v>
      </c>
      <c r="AK1122" t="n">
        <v>9</v>
      </c>
      <c r="AL1122" t="n">
        <v>2</v>
      </c>
      <c r="AM1122" t="n">
        <v>3</v>
      </c>
      <c r="AN1122" t="n">
        <v>0</v>
      </c>
      <c r="AO1122" t="n">
        <v>0</v>
      </c>
      <c r="AP1122" t="inlineStr">
        <is>
          <t>No</t>
        </is>
      </c>
      <c r="AQ1122" t="inlineStr">
        <is>
          <t>No</t>
        </is>
      </c>
      <c r="AS1122">
        <f>HYPERLINK("https://creighton-primo.hosted.exlibrisgroup.com/primo-explore/search?tab=default_tab&amp;search_scope=EVERYTHING&amp;vid=01CRU&amp;lang=en_US&amp;offset=0&amp;query=any,contains,991004469509702656","Catalog Record")</f>
        <v/>
      </c>
      <c r="AT1122">
        <f>HYPERLINK("http://www.worldcat.org/oclc/52195200","WorldCat Record")</f>
        <v/>
      </c>
      <c r="AU1122" t="inlineStr">
        <is>
          <t>664650:eng</t>
        </is>
      </c>
      <c r="AV1122" t="inlineStr">
        <is>
          <t>52195200</t>
        </is>
      </c>
      <c r="AW1122" t="inlineStr">
        <is>
          <t>991004469509702656</t>
        </is>
      </c>
      <c r="AX1122" t="inlineStr">
        <is>
          <t>991004469509702656</t>
        </is>
      </c>
      <c r="AY1122" t="inlineStr">
        <is>
          <t>2259462320002656</t>
        </is>
      </c>
      <c r="AZ1122" t="inlineStr">
        <is>
          <t>BOOK</t>
        </is>
      </c>
      <c r="BB1122" t="inlineStr">
        <is>
          <t>9780199249732</t>
        </is>
      </c>
      <c r="BC1122" t="inlineStr">
        <is>
          <t>32285005040885</t>
        </is>
      </c>
      <c r="BD1122" t="inlineStr">
        <is>
          <t>893337763</t>
        </is>
      </c>
    </row>
    <row r="1123">
      <c r="A1123" t="inlineStr">
        <is>
          <t>No</t>
        </is>
      </c>
      <c r="B1123" t="inlineStr">
        <is>
          <t>QD501 .L17 1965</t>
        </is>
      </c>
      <c r="C1123" t="inlineStr">
        <is>
          <t>0                      QD 0501000L  17          1965</t>
        </is>
      </c>
      <c r="D1123" t="inlineStr">
        <is>
          <t>Chemical kinetics / [by] Keith J. Laidler.</t>
        </is>
      </c>
      <c r="F1123" t="inlineStr">
        <is>
          <t>No</t>
        </is>
      </c>
      <c r="G1123" t="inlineStr">
        <is>
          <t>1</t>
        </is>
      </c>
      <c r="H1123" t="inlineStr">
        <is>
          <t>No</t>
        </is>
      </c>
      <c r="I1123" t="inlineStr">
        <is>
          <t>Yes</t>
        </is>
      </c>
      <c r="J1123" t="inlineStr">
        <is>
          <t>0</t>
        </is>
      </c>
      <c r="K1123" t="inlineStr">
        <is>
          <t>Laidler, Keith J. (Keith James), 1916-2003.</t>
        </is>
      </c>
      <c r="L1123" t="inlineStr">
        <is>
          <t>New York : McGraw-Hill, [1965]</t>
        </is>
      </c>
      <c r="M1123" t="inlineStr">
        <is>
          <t>1965</t>
        </is>
      </c>
      <c r="N1123" t="inlineStr">
        <is>
          <t>2d ed.</t>
        </is>
      </c>
      <c r="O1123" t="inlineStr">
        <is>
          <t>eng</t>
        </is>
      </c>
      <c r="P1123" t="inlineStr">
        <is>
          <t>nyu</t>
        </is>
      </c>
      <c r="R1123" t="inlineStr">
        <is>
          <t xml:space="preserve">QD </t>
        </is>
      </c>
      <c r="S1123" t="n">
        <v>4</v>
      </c>
      <c r="T1123" t="n">
        <v>4</v>
      </c>
      <c r="U1123" t="inlineStr">
        <is>
          <t>1995-11-30</t>
        </is>
      </c>
      <c r="V1123" t="inlineStr">
        <is>
          <t>1995-11-30</t>
        </is>
      </c>
      <c r="W1123" t="inlineStr">
        <is>
          <t>1992-04-15</t>
        </is>
      </c>
      <c r="X1123" t="inlineStr">
        <is>
          <t>1992-04-15</t>
        </is>
      </c>
      <c r="Y1123" t="n">
        <v>644</v>
      </c>
      <c r="Z1123" t="n">
        <v>470</v>
      </c>
      <c r="AA1123" t="n">
        <v>758</v>
      </c>
      <c r="AB1123" t="n">
        <v>3</v>
      </c>
      <c r="AC1123" t="n">
        <v>6</v>
      </c>
      <c r="AD1123" t="n">
        <v>16</v>
      </c>
      <c r="AE1123" t="n">
        <v>35</v>
      </c>
      <c r="AF1123" t="n">
        <v>10</v>
      </c>
      <c r="AG1123" t="n">
        <v>15</v>
      </c>
      <c r="AH1123" t="n">
        <v>3</v>
      </c>
      <c r="AI1123" t="n">
        <v>6</v>
      </c>
      <c r="AJ1123" t="n">
        <v>9</v>
      </c>
      <c r="AK1123" t="n">
        <v>18</v>
      </c>
      <c r="AL1123" t="n">
        <v>2</v>
      </c>
      <c r="AM1123" t="n">
        <v>5</v>
      </c>
      <c r="AN1123" t="n">
        <v>0</v>
      </c>
      <c r="AO1123" t="n">
        <v>0</v>
      </c>
      <c r="AP1123" t="inlineStr">
        <is>
          <t>No</t>
        </is>
      </c>
      <c r="AQ1123" t="inlineStr">
        <is>
          <t>Yes</t>
        </is>
      </c>
      <c r="AR1123">
        <f>HYPERLINK("http://catalog.hathitrust.org/Record/001114188","HathiTrust Record")</f>
        <v/>
      </c>
      <c r="AS1123">
        <f>HYPERLINK("https://creighton-primo.hosted.exlibrisgroup.com/primo-explore/search?tab=default_tab&amp;search_scope=EVERYTHING&amp;vid=01CRU&amp;lang=en_US&amp;offset=0&amp;query=any,contains,991001960029702656","Catalog Record")</f>
        <v/>
      </c>
      <c r="AT1123">
        <f>HYPERLINK("http://www.worldcat.org/oclc/253426","WorldCat Record")</f>
        <v/>
      </c>
      <c r="AU1123" t="inlineStr">
        <is>
          <t>142473320:eng</t>
        </is>
      </c>
      <c r="AV1123" t="inlineStr">
        <is>
          <t>253426</t>
        </is>
      </c>
      <c r="AW1123" t="inlineStr">
        <is>
          <t>991001960029702656</t>
        </is>
      </c>
      <c r="AX1123" t="inlineStr">
        <is>
          <t>991001960029702656</t>
        </is>
      </c>
      <c r="AY1123" t="inlineStr">
        <is>
          <t>2267209900002656</t>
        </is>
      </c>
      <c r="AZ1123" t="inlineStr">
        <is>
          <t>BOOK</t>
        </is>
      </c>
      <c r="BC1123" t="inlineStr">
        <is>
          <t>32285001061489</t>
        </is>
      </c>
      <c r="BD1123" t="inlineStr">
        <is>
          <t>893238489</t>
        </is>
      </c>
    </row>
    <row r="1124">
      <c r="A1124" t="inlineStr">
        <is>
          <t>No</t>
        </is>
      </c>
      <c r="B1124" t="inlineStr">
        <is>
          <t>QD501 .L32 1978</t>
        </is>
      </c>
      <c r="C1124" t="inlineStr">
        <is>
          <t>0                      QD 0501000L  32          1978</t>
        </is>
      </c>
      <c r="D1124" t="inlineStr">
        <is>
          <t>Thermodynamics of irreversible processes / Bernard H. Lavenda.</t>
        </is>
      </c>
      <c r="F1124" t="inlineStr">
        <is>
          <t>No</t>
        </is>
      </c>
      <c r="G1124" t="inlineStr">
        <is>
          <t>1</t>
        </is>
      </c>
      <c r="H1124" t="inlineStr">
        <is>
          <t>No</t>
        </is>
      </c>
      <c r="I1124" t="inlineStr">
        <is>
          <t>No</t>
        </is>
      </c>
      <c r="J1124" t="inlineStr">
        <is>
          <t>0</t>
        </is>
      </c>
      <c r="K1124" t="inlineStr">
        <is>
          <t>Lavenda, Bernard H.</t>
        </is>
      </c>
      <c r="L1124" t="inlineStr">
        <is>
          <t>New York : Wiley, c1978.</t>
        </is>
      </c>
      <c r="M1124" t="inlineStr">
        <is>
          <t>1978</t>
        </is>
      </c>
      <c r="O1124" t="inlineStr">
        <is>
          <t>eng</t>
        </is>
      </c>
      <c r="P1124" t="inlineStr">
        <is>
          <t>nyu</t>
        </is>
      </c>
      <c r="R1124" t="inlineStr">
        <is>
          <t xml:space="preserve">QD </t>
        </is>
      </c>
      <c r="S1124" t="n">
        <v>1</v>
      </c>
      <c r="T1124" t="n">
        <v>1</v>
      </c>
      <c r="U1124" t="inlineStr">
        <is>
          <t>1993-03-22</t>
        </is>
      </c>
      <c r="V1124" t="inlineStr">
        <is>
          <t>1993-03-22</t>
        </is>
      </c>
      <c r="W1124" t="inlineStr">
        <is>
          <t>1990-08-15</t>
        </is>
      </c>
      <c r="X1124" t="inlineStr">
        <is>
          <t>1990-08-15</t>
        </is>
      </c>
      <c r="Y1124" t="n">
        <v>188</v>
      </c>
      <c r="Z1124" t="n">
        <v>170</v>
      </c>
      <c r="AA1124" t="n">
        <v>231</v>
      </c>
      <c r="AB1124" t="n">
        <v>2</v>
      </c>
      <c r="AC1124" t="n">
        <v>3</v>
      </c>
      <c r="AD1124" t="n">
        <v>10</v>
      </c>
      <c r="AE1124" t="n">
        <v>12</v>
      </c>
      <c r="AF1124" t="n">
        <v>1</v>
      </c>
      <c r="AG1124" t="n">
        <v>1</v>
      </c>
      <c r="AH1124" t="n">
        <v>3</v>
      </c>
      <c r="AI1124" t="n">
        <v>3</v>
      </c>
      <c r="AJ1124" t="n">
        <v>6</v>
      </c>
      <c r="AK1124" t="n">
        <v>7</v>
      </c>
      <c r="AL1124" t="n">
        <v>1</v>
      </c>
      <c r="AM1124" t="n">
        <v>2</v>
      </c>
      <c r="AN1124" t="n">
        <v>0</v>
      </c>
      <c r="AO1124" t="n">
        <v>0</v>
      </c>
      <c r="AP1124" t="inlineStr">
        <is>
          <t>No</t>
        </is>
      </c>
      <c r="AQ1124" t="inlineStr">
        <is>
          <t>Yes</t>
        </is>
      </c>
      <c r="AR1124">
        <f>HYPERLINK("http://catalog.hathitrust.org/Record/000739671","HathiTrust Record")</f>
        <v/>
      </c>
      <c r="AS1124">
        <f>HYPERLINK("https://creighton-primo.hosted.exlibrisgroup.com/primo-explore/search?tab=default_tab&amp;search_scope=EVERYTHING&amp;vid=01CRU&amp;lang=en_US&amp;offset=0&amp;query=any,contains,991004084029702656","Catalog Record")</f>
        <v/>
      </c>
      <c r="AT1124">
        <f>HYPERLINK("http://www.worldcat.org/oclc/2331569","WorldCat Record")</f>
        <v/>
      </c>
      <c r="AU1124" t="inlineStr">
        <is>
          <t>3901308955:eng</t>
        </is>
      </c>
      <c r="AV1124" t="inlineStr">
        <is>
          <t>2331569</t>
        </is>
      </c>
      <c r="AW1124" t="inlineStr">
        <is>
          <t>991004084029702656</t>
        </is>
      </c>
      <c r="AX1124" t="inlineStr">
        <is>
          <t>991004084029702656</t>
        </is>
      </c>
      <c r="AY1124" t="inlineStr">
        <is>
          <t>2264181910002656</t>
        </is>
      </c>
      <c r="AZ1124" t="inlineStr">
        <is>
          <t>BOOK</t>
        </is>
      </c>
      <c r="BB1124" t="inlineStr">
        <is>
          <t>9780470988985</t>
        </is>
      </c>
      <c r="BC1124" t="inlineStr">
        <is>
          <t>32285000269083</t>
        </is>
      </c>
      <c r="BD1124" t="inlineStr">
        <is>
          <t>893349599</t>
        </is>
      </c>
    </row>
    <row r="1125">
      <c r="A1125" t="inlineStr">
        <is>
          <t>No</t>
        </is>
      </c>
      <c r="B1125" t="inlineStr">
        <is>
          <t>QD501 .M265</t>
        </is>
      </c>
      <c r="C1125" t="inlineStr">
        <is>
          <t>0                      QD 0501000M  265</t>
        </is>
      </c>
      <c r="D1125" t="inlineStr">
        <is>
          <t>Azeotropy and other theoretical problems of vapour-liquid equilibrium.</t>
        </is>
      </c>
      <c r="F1125" t="inlineStr">
        <is>
          <t>No</t>
        </is>
      </c>
      <c r="G1125" t="inlineStr">
        <is>
          <t>1</t>
        </is>
      </c>
      <c r="H1125" t="inlineStr">
        <is>
          <t>No</t>
        </is>
      </c>
      <c r="I1125" t="inlineStr">
        <is>
          <t>No</t>
        </is>
      </c>
      <c r="J1125" t="inlineStr">
        <is>
          <t>0</t>
        </is>
      </c>
      <c r="K1125" t="inlineStr">
        <is>
          <t>Malesiński, Władysław.</t>
        </is>
      </c>
      <c r="L1125" t="inlineStr">
        <is>
          <t>London, New York, Interscience Publishers [c1965]</t>
        </is>
      </c>
      <c r="M1125" t="inlineStr">
        <is>
          <t>1965</t>
        </is>
      </c>
      <c r="O1125" t="inlineStr">
        <is>
          <t>eng</t>
        </is>
      </c>
      <c r="P1125" t="inlineStr">
        <is>
          <t xml:space="preserve">xx </t>
        </is>
      </c>
      <c r="R1125" t="inlineStr">
        <is>
          <t xml:space="preserve">QD </t>
        </is>
      </c>
      <c r="S1125" t="n">
        <v>8</v>
      </c>
      <c r="T1125" t="n">
        <v>8</v>
      </c>
      <c r="U1125" t="inlineStr">
        <is>
          <t>2004-04-12</t>
        </is>
      </c>
      <c r="V1125" t="inlineStr">
        <is>
          <t>2004-04-12</t>
        </is>
      </c>
      <c r="W1125" t="inlineStr">
        <is>
          <t>1997-06-17</t>
        </is>
      </c>
      <c r="X1125" t="inlineStr">
        <is>
          <t>1997-06-17</t>
        </is>
      </c>
      <c r="Y1125" t="n">
        <v>195</v>
      </c>
      <c r="Z1125" t="n">
        <v>137</v>
      </c>
      <c r="AA1125" t="n">
        <v>138</v>
      </c>
      <c r="AB1125" t="n">
        <v>2</v>
      </c>
      <c r="AC1125" t="n">
        <v>2</v>
      </c>
      <c r="AD1125" t="n">
        <v>4</v>
      </c>
      <c r="AE1125" t="n">
        <v>4</v>
      </c>
      <c r="AF1125" t="n">
        <v>0</v>
      </c>
      <c r="AG1125" t="n">
        <v>0</v>
      </c>
      <c r="AH1125" t="n">
        <v>1</v>
      </c>
      <c r="AI1125" t="n">
        <v>1</v>
      </c>
      <c r="AJ1125" t="n">
        <v>2</v>
      </c>
      <c r="AK1125" t="n">
        <v>2</v>
      </c>
      <c r="AL1125" t="n">
        <v>1</v>
      </c>
      <c r="AM1125" t="n">
        <v>1</v>
      </c>
      <c r="AN1125" t="n">
        <v>0</v>
      </c>
      <c r="AO1125" t="n">
        <v>0</v>
      </c>
      <c r="AP1125" t="inlineStr">
        <is>
          <t>No</t>
        </is>
      </c>
      <c r="AQ1125" t="inlineStr">
        <is>
          <t>Yes</t>
        </is>
      </c>
      <c r="AR1125">
        <f>HYPERLINK("http://catalog.hathitrust.org/Record/001425706","HathiTrust Record")</f>
        <v/>
      </c>
      <c r="AS1125">
        <f>HYPERLINK("https://creighton-primo.hosted.exlibrisgroup.com/primo-explore/search?tab=default_tab&amp;search_scope=EVERYTHING&amp;vid=01CRU&amp;lang=en_US&amp;offset=0&amp;query=any,contains,991004079289702656","Catalog Record")</f>
        <v/>
      </c>
      <c r="AT1125">
        <f>HYPERLINK("http://www.worldcat.org/oclc/2323099","WorldCat Record")</f>
        <v/>
      </c>
      <c r="AU1125" t="inlineStr">
        <is>
          <t>4718676:eng</t>
        </is>
      </c>
      <c r="AV1125" t="inlineStr">
        <is>
          <t>2323099</t>
        </is>
      </c>
      <c r="AW1125" t="inlineStr">
        <is>
          <t>991004079289702656</t>
        </is>
      </c>
      <c r="AX1125" t="inlineStr">
        <is>
          <t>991004079289702656</t>
        </is>
      </c>
      <c r="AY1125" t="inlineStr">
        <is>
          <t>2258601590002656</t>
        </is>
      </c>
      <c r="AZ1125" t="inlineStr">
        <is>
          <t>BOOK</t>
        </is>
      </c>
      <c r="BC1125" t="inlineStr">
        <is>
          <t>32285002807864</t>
        </is>
      </c>
      <c r="BD1125" t="inlineStr">
        <is>
          <t>893882040</t>
        </is>
      </c>
    </row>
    <row r="1126">
      <c r="A1126" t="inlineStr">
        <is>
          <t>No</t>
        </is>
      </c>
      <c r="B1126" t="inlineStr">
        <is>
          <t>QD501 .M7767</t>
        </is>
      </c>
      <c r="C1126" t="inlineStr">
        <is>
          <t>0                      QD 0501000M  7767</t>
        </is>
      </c>
      <c r="D1126" t="inlineStr">
        <is>
          <t>The chemical statics and kinetics of solutions [by] E. A. Moelwyn Hughes.</t>
        </is>
      </c>
      <c r="F1126" t="inlineStr">
        <is>
          <t>No</t>
        </is>
      </c>
      <c r="G1126" t="inlineStr">
        <is>
          <t>1</t>
        </is>
      </c>
      <c r="H1126" t="inlineStr">
        <is>
          <t>No</t>
        </is>
      </c>
      <c r="I1126" t="inlineStr">
        <is>
          <t>No</t>
        </is>
      </c>
      <c r="J1126" t="inlineStr">
        <is>
          <t>0</t>
        </is>
      </c>
      <c r="K1126" t="inlineStr">
        <is>
          <t>Moelwyn-Hughes, E. A. (Emyr Alun)</t>
        </is>
      </c>
      <c r="L1126" t="inlineStr">
        <is>
          <t>London, New York, Academic Press Inc., 1971.</t>
        </is>
      </c>
      <c r="M1126" t="inlineStr">
        <is>
          <t>1971</t>
        </is>
      </c>
      <c r="O1126" t="inlineStr">
        <is>
          <t>eng</t>
        </is>
      </c>
      <c r="P1126" t="inlineStr">
        <is>
          <t>enk</t>
        </is>
      </c>
      <c r="Q1126" t="inlineStr">
        <is>
          <t>Physical chemistry ; 25</t>
        </is>
      </c>
      <c r="R1126" t="inlineStr">
        <is>
          <t xml:space="preserve">QD </t>
        </is>
      </c>
      <c r="S1126" t="n">
        <v>1</v>
      </c>
      <c r="T1126" t="n">
        <v>1</v>
      </c>
      <c r="U1126" t="inlineStr">
        <is>
          <t>1999-09-19</t>
        </is>
      </c>
      <c r="V1126" t="inlineStr">
        <is>
          <t>1999-09-19</t>
        </is>
      </c>
      <c r="W1126" t="inlineStr">
        <is>
          <t>1997-06-17</t>
        </is>
      </c>
      <c r="X1126" t="inlineStr">
        <is>
          <t>1997-06-17</t>
        </is>
      </c>
      <c r="Y1126" t="n">
        <v>418</v>
      </c>
      <c r="Z1126" t="n">
        <v>270</v>
      </c>
      <c r="AA1126" t="n">
        <v>276</v>
      </c>
      <c r="AB1126" t="n">
        <v>2</v>
      </c>
      <c r="AC1126" t="n">
        <v>2</v>
      </c>
      <c r="AD1126" t="n">
        <v>12</v>
      </c>
      <c r="AE1126" t="n">
        <v>12</v>
      </c>
      <c r="AF1126" t="n">
        <v>1</v>
      </c>
      <c r="AG1126" t="n">
        <v>1</v>
      </c>
      <c r="AH1126" t="n">
        <v>5</v>
      </c>
      <c r="AI1126" t="n">
        <v>5</v>
      </c>
      <c r="AJ1126" t="n">
        <v>7</v>
      </c>
      <c r="AK1126" t="n">
        <v>7</v>
      </c>
      <c r="AL1126" t="n">
        <v>1</v>
      </c>
      <c r="AM1126" t="n">
        <v>1</v>
      </c>
      <c r="AN1126" t="n">
        <v>0</v>
      </c>
      <c r="AO1126" t="n">
        <v>0</v>
      </c>
      <c r="AP1126" t="inlineStr">
        <is>
          <t>No</t>
        </is>
      </c>
      <c r="AQ1126" t="inlineStr">
        <is>
          <t>Yes</t>
        </is>
      </c>
      <c r="AR1126">
        <f>HYPERLINK("http://catalog.hathitrust.org/Record/001034787","HathiTrust Record")</f>
        <v/>
      </c>
      <c r="AS1126">
        <f>HYPERLINK("https://creighton-primo.hosted.exlibrisgroup.com/primo-explore/search?tab=default_tab&amp;search_scope=EVERYTHING&amp;vid=01CRU&amp;lang=en_US&amp;offset=0&amp;query=any,contains,991002273899702656","Catalog Record")</f>
        <v/>
      </c>
      <c r="AT1126">
        <f>HYPERLINK("http://www.worldcat.org/oclc/309556","WorldCat Record")</f>
        <v/>
      </c>
      <c r="AU1126" t="inlineStr">
        <is>
          <t>1367912:eng</t>
        </is>
      </c>
      <c r="AV1126" t="inlineStr">
        <is>
          <t>309556</t>
        </is>
      </c>
      <c r="AW1126" t="inlineStr">
        <is>
          <t>991002273899702656</t>
        </is>
      </c>
      <c r="AX1126" t="inlineStr">
        <is>
          <t>991002273899702656</t>
        </is>
      </c>
      <c r="AY1126" t="inlineStr">
        <is>
          <t>2264757800002656</t>
        </is>
      </c>
      <c r="AZ1126" t="inlineStr">
        <is>
          <t>BOOK</t>
        </is>
      </c>
      <c r="BB1126" t="inlineStr">
        <is>
          <t>9780125035507</t>
        </is>
      </c>
      <c r="BC1126" t="inlineStr">
        <is>
          <t>32285002807880</t>
        </is>
      </c>
      <c r="BD1126" t="inlineStr">
        <is>
          <t>893622099</t>
        </is>
      </c>
    </row>
    <row r="1127">
      <c r="A1127" t="inlineStr">
        <is>
          <t>No</t>
        </is>
      </c>
      <c r="B1127" t="inlineStr">
        <is>
          <t>QD501 .M777</t>
        </is>
      </c>
      <c r="C1127" t="inlineStr">
        <is>
          <t>0                      QD 0501000M  777</t>
        </is>
      </c>
      <c r="D1127" t="inlineStr">
        <is>
          <t>The kinetics of reactions in solution.</t>
        </is>
      </c>
      <c r="F1127" t="inlineStr">
        <is>
          <t>No</t>
        </is>
      </c>
      <c r="G1127" t="inlineStr">
        <is>
          <t>1</t>
        </is>
      </c>
      <c r="H1127" t="inlineStr">
        <is>
          <t>No</t>
        </is>
      </c>
      <c r="I1127" t="inlineStr">
        <is>
          <t>No</t>
        </is>
      </c>
      <c r="J1127" t="inlineStr">
        <is>
          <t>0</t>
        </is>
      </c>
      <c r="K1127" t="inlineStr">
        <is>
          <t>Moelwyn-Hughes, E. A. (Emyr Alun)</t>
        </is>
      </c>
      <c r="L1127" t="inlineStr">
        <is>
          <t>Oxford, Clarendon Press, 1947.</t>
        </is>
      </c>
      <c r="M1127" t="inlineStr">
        <is>
          <t>1947</t>
        </is>
      </c>
      <c r="N1127" t="inlineStr">
        <is>
          <t>2d ed.</t>
        </is>
      </c>
      <c r="O1127" t="inlineStr">
        <is>
          <t>eng</t>
        </is>
      </c>
      <c r="P1127" t="inlineStr">
        <is>
          <t>enk</t>
        </is>
      </c>
      <c r="R1127" t="inlineStr">
        <is>
          <t xml:space="preserve">QD </t>
        </is>
      </c>
      <c r="S1127" t="n">
        <v>2</v>
      </c>
      <c r="T1127" t="n">
        <v>2</v>
      </c>
      <c r="U1127" t="inlineStr">
        <is>
          <t>1999-09-19</t>
        </is>
      </c>
      <c r="V1127" t="inlineStr">
        <is>
          <t>1999-09-19</t>
        </is>
      </c>
      <c r="W1127" t="inlineStr">
        <is>
          <t>1997-06-17</t>
        </is>
      </c>
      <c r="X1127" t="inlineStr">
        <is>
          <t>1997-06-17</t>
        </is>
      </c>
      <c r="Y1127" t="n">
        <v>341</v>
      </c>
      <c r="Z1127" t="n">
        <v>244</v>
      </c>
      <c r="AA1127" t="n">
        <v>310</v>
      </c>
      <c r="AB1127" t="n">
        <v>2</v>
      </c>
      <c r="AC1127" t="n">
        <v>2</v>
      </c>
      <c r="AD1127" t="n">
        <v>13</v>
      </c>
      <c r="AE1127" t="n">
        <v>14</v>
      </c>
      <c r="AF1127" t="n">
        <v>3</v>
      </c>
      <c r="AG1127" t="n">
        <v>3</v>
      </c>
      <c r="AH1127" t="n">
        <v>3</v>
      </c>
      <c r="AI1127" t="n">
        <v>3</v>
      </c>
      <c r="AJ1127" t="n">
        <v>9</v>
      </c>
      <c r="AK1127" t="n">
        <v>10</v>
      </c>
      <c r="AL1127" t="n">
        <v>1</v>
      </c>
      <c r="AM1127" t="n">
        <v>1</v>
      </c>
      <c r="AN1127" t="n">
        <v>0</v>
      </c>
      <c r="AO1127" t="n">
        <v>0</v>
      </c>
      <c r="AP1127" t="inlineStr">
        <is>
          <t>No</t>
        </is>
      </c>
      <c r="AQ1127" t="inlineStr">
        <is>
          <t>Yes</t>
        </is>
      </c>
      <c r="AR1127">
        <f>HYPERLINK("http://catalog.hathitrust.org/Record/001034789","HathiTrust Record")</f>
        <v/>
      </c>
      <c r="AS1127">
        <f>HYPERLINK("https://creighton-primo.hosted.exlibrisgroup.com/primo-explore/search?tab=default_tab&amp;search_scope=EVERYTHING&amp;vid=01CRU&amp;lang=en_US&amp;offset=0&amp;query=any,contains,991002959239702656","Catalog Record")</f>
        <v/>
      </c>
      <c r="AT1127">
        <f>HYPERLINK("http://www.worldcat.org/oclc/543269","WorldCat Record")</f>
        <v/>
      </c>
      <c r="AU1127" t="inlineStr">
        <is>
          <t>1573309:eng</t>
        </is>
      </c>
      <c r="AV1127" t="inlineStr">
        <is>
          <t>543269</t>
        </is>
      </c>
      <c r="AW1127" t="inlineStr">
        <is>
          <t>991002959239702656</t>
        </is>
      </c>
      <c r="AX1127" t="inlineStr">
        <is>
          <t>991002959239702656</t>
        </is>
      </c>
      <c r="AY1127" t="inlineStr">
        <is>
          <t>2265500570002656</t>
        </is>
      </c>
      <c r="AZ1127" t="inlineStr">
        <is>
          <t>BOOK</t>
        </is>
      </c>
      <c r="BC1127" t="inlineStr">
        <is>
          <t>32285002807898</t>
        </is>
      </c>
      <c r="BD1127" t="inlineStr">
        <is>
          <t>893799224</t>
        </is>
      </c>
    </row>
    <row r="1128">
      <c r="A1128" t="inlineStr">
        <is>
          <t>No</t>
        </is>
      </c>
      <c r="B1128" t="inlineStr">
        <is>
          <t>QD501 .M85 2005</t>
        </is>
      </c>
      <c r="C1128" t="inlineStr">
        <is>
          <t>0                      QD 0501000M  85          2005</t>
        </is>
      </c>
      <c r="D1128" t="inlineStr">
        <is>
          <t>Multicomponent reactions / edited by Jieping Zhu, Hugues Bienaymé.</t>
        </is>
      </c>
      <c r="F1128" t="inlineStr">
        <is>
          <t>No</t>
        </is>
      </c>
      <c r="G1128" t="inlineStr">
        <is>
          <t>1</t>
        </is>
      </c>
      <c r="H1128" t="inlineStr">
        <is>
          <t>No</t>
        </is>
      </c>
      <c r="I1128" t="inlineStr">
        <is>
          <t>No</t>
        </is>
      </c>
      <c r="J1128" t="inlineStr">
        <is>
          <t>0</t>
        </is>
      </c>
      <c r="L1128" t="inlineStr">
        <is>
          <t>Weinheim ; [Great Britain] : Wiley-VCH, c2005.</t>
        </is>
      </c>
      <c r="M1128" t="inlineStr">
        <is>
          <t>2005</t>
        </is>
      </c>
      <c r="O1128" t="inlineStr">
        <is>
          <t>eng</t>
        </is>
      </c>
      <c r="P1128" t="inlineStr">
        <is>
          <t xml:space="preserve">gw </t>
        </is>
      </c>
      <c r="R1128" t="inlineStr">
        <is>
          <t xml:space="preserve">QD </t>
        </is>
      </c>
      <c r="S1128" t="n">
        <v>1</v>
      </c>
      <c r="T1128" t="n">
        <v>1</v>
      </c>
      <c r="U1128" t="inlineStr">
        <is>
          <t>2007-09-11</t>
        </is>
      </c>
      <c r="V1128" t="inlineStr">
        <is>
          <t>2007-09-11</t>
        </is>
      </c>
      <c r="W1128" t="inlineStr">
        <is>
          <t>2007-03-05</t>
        </is>
      </c>
      <c r="X1128" t="inlineStr">
        <is>
          <t>2007-03-05</t>
        </is>
      </c>
      <c r="Y1128" t="n">
        <v>161</v>
      </c>
      <c r="Z1128" t="n">
        <v>102</v>
      </c>
      <c r="AA1128" t="n">
        <v>164</v>
      </c>
      <c r="AB1128" t="n">
        <v>3</v>
      </c>
      <c r="AC1128" t="n">
        <v>3</v>
      </c>
      <c r="AD1128" t="n">
        <v>5</v>
      </c>
      <c r="AE1128" t="n">
        <v>6</v>
      </c>
      <c r="AF1128" t="n">
        <v>0</v>
      </c>
      <c r="AG1128" t="n">
        <v>1</v>
      </c>
      <c r="AH1128" t="n">
        <v>1</v>
      </c>
      <c r="AI1128" t="n">
        <v>1</v>
      </c>
      <c r="AJ1128" t="n">
        <v>3</v>
      </c>
      <c r="AK1128" t="n">
        <v>4</v>
      </c>
      <c r="AL1128" t="n">
        <v>2</v>
      </c>
      <c r="AM1128" t="n">
        <v>2</v>
      </c>
      <c r="AN1128" t="n">
        <v>0</v>
      </c>
      <c r="AO1128" t="n">
        <v>0</v>
      </c>
      <c r="AP1128" t="inlineStr">
        <is>
          <t>No</t>
        </is>
      </c>
      <c r="AQ1128" t="inlineStr">
        <is>
          <t>Yes</t>
        </is>
      </c>
      <c r="AR1128">
        <f>HYPERLINK("http://catalog.hathitrust.org/Record/004965320","HathiTrust Record")</f>
        <v/>
      </c>
      <c r="AS1128">
        <f>HYPERLINK("https://creighton-primo.hosted.exlibrisgroup.com/primo-explore/search?tab=default_tab&amp;search_scope=EVERYTHING&amp;vid=01CRU&amp;lang=en_US&amp;offset=0&amp;query=any,contains,991005040519702656","Catalog Record")</f>
        <v/>
      </c>
      <c r="AT1128">
        <f>HYPERLINK("http://www.worldcat.org/oclc/57641006","WorldCat Record")</f>
        <v/>
      </c>
      <c r="AU1128" t="inlineStr">
        <is>
          <t>766904916:eng</t>
        </is>
      </c>
      <c r="AV1128" t="inlineStr">
        <is>
          <t>57641006</t>
        </is>
      </c>
      <c r="AW1128" t="inlineStr">
        <is>
          <t>991005040519702656</t>
        </is>
      </c>
      <c r="AX1128" t="inlineStr">
        <is>
          <t>991005040519702656</t>
        </is>
      </c>
      <c r="AY1128" t="inlineStr">
        <is>
          <t>2254764600002656</t>
        </is>
      </c>
      <c r="AZ1128" t="inlineStr">
        <is>
          <t>BOOK</t>
        </is>
      </c>
      <c r="BB1128" t="inlineStr">
        <is>
          <t>9783527308064</t>
        </is>
      </c>
      <c r="BC1128" t="inlineStr">
        <is>
          <t>32285005279616</t>
        </is>
      </c>
      <c r="BD1128" t="inlineStr">
        <is>
          <t>893694663</t>
        </is>
      </c>
    </row>
    <row r="1129">
      <c r="A1129" t="inlineStr">
        <is>
          <t>No</t>
        </is>
      </c>
      <c r="B1129" t="inlineStr">
        <is>
          <t>QD501 .R732 1985 Supp.</t>
        </is>
      </c>
      <c r="C1129" t="inlineStr">
        <is>
          <t>0                      QD 0501000R  732         1985                                        Supp.</t>
        </is>
      </c>
      <c r="D1129" t="inlineStr">
        <is>
          <t>Solutions manual to accompany Chemical thermodynamics / Peter A. Rock.</t>
        </is>
      </c>
      <c r="E1129" t="inlineStr">
        <is>
          <t>Supp.*</t>
        </is>
      </c>
      <c r="F1129" t="inlineStr">
        <is>
          <t>No</t>
        </is>
      </c>
      <c r="G1129" t="inlineStr">
        <is>
          <t>1</t>
        </is>
      </c>
      <c r="H1129" t="inlineStr">
        <is>
          <t>No</t>
        </is>
      </c>
      <c r="I1129" t="inlineStr">
        <is>
          <t>No</t>
        </is>
      </c>
      <c r="J1129" t="inlineStr">
        <is>
          <t>0</t>
        </is>
      </c>
      <c r="K1129" t="inlineStr">
        <is>
          <t>Rock, Peter A., 1939-2006.</t>
        </is>
      </c>
      <c r="L1129" t="inlineStr">
        <is>
          <t>Mill Valley, Calif. : University Science Books, 1985.</t>
        </is>
      </c>
      <c r="M1129" t="inlineStr">
        <is>
          <t>1985</t>
        </is>
      </c>
      <c r="O1129" t="inlineStr">
        <is>
          <t>eng</t>
        </is>
      </c>
      <c r="P1129" t="inlineStr">
        <is>
          <t>cau</t>
        </is>
      </c>
      <c r="R1129" t="inlineStr">
        <is>
          <t xml:space="preserve">QD </t>
        </is>
      </c>
      <c r="S1129" t="n">
        <v>3</v>
      </c>
      <c r="T1129" t="n">
        <v>3</v>
      </c>
      <c r="U1129" t="inlineStr">
        <is>
          <t>1993-10-19</t>
        </is>
      </c>
      <c r="V1129" t="inlineStr">
        <is>
          <t>1993-10-19</t>
        </is>
      </c>
      <c r="W1129" t="inlineStr">
        <is>
          <t>1993-02-10</t>
        </is>
      </c>
      <c r="X1129" t="inlineStr">
        <is>
          <t>1993-02-10</t>
        </is>
      </c>
      <c r="Y1129" t="n">
        <v>53</v>
      </c>
      <c r="Z1129" t="n">
        <v>26</v>
      </c>
      <c r="AA1129" t="n">
        <v>27</v>
      </c>
      <c r="AB1129" t="n">
        <v>1</v>
      </c>
      <c r="AC1129" t="n">
        <v>1</v>
      </c>
      <c r="AD1129" t="n">
        <v>0</v>
      </c>
      <c r="AE1129" t="n">
        <v>0</v>
      </c>
      <c r="AF1129" t="n">
        <v>0</v>
      </c>
      <c r="AG1129" t="n">
        <v>0</v>
      </c>
      <c r="AH1129" t="n">
        <v>0</v>
      </c>
      <c r="AI1129" t="n">
        <v>0</v>
      </c>
      <c r="AJ1129" t="n">
        <v>0</v>
      </c>
      <c r="AK1129" t="n">
        <v>0</v>
      </c>
      <c r="AL1129" t="n">
        <v>0</v>
      </c>
      <c r="AM1129" t="n">
        <v>0</v>
      </c>
      <c r="AN1129" t="n">
        <v>0</v>
      </c>
      <c r="AO1129" t="n">
        <v>0</v>
      </c>
      <c r="AP1129" t="inlineStr">
        <is>
          <t>No</t>
        </is>
      </c>
      <c r="AQ1129" t="inlineStr">
        <is>
          <t>No</t>
        </is>
      </c>
      <c r="AS1129">
        <f>HYPERLINK("https://creighton-primo.hosted.exlibrisgroup.com/primo-explore/search?tab=default_tab&amp;search_scope=EVERYTHING&amp;vid=01CRU&amp;lang=en_US&amp;offset=0&amp;query=any,contains,991000709469702656","Catalog Record")</f>
        <v/>
      </c>
      <c r="AT1129">
        <f>HYPERLINK("http://www.worldcat.org/oclc/17766176","WorldCat Record")</f>
        <v/>
      </c>
      <c r="AU1129" t="inlineStr">
        <is>
          <t>16502857:eng</t>
        </is>
      </c>
      <c r="AV1129" t="inlineStr">
        <is>
          <t>17766176</t>
        </is>
      </c>
      <c r="AW1129" t="inlineStr">
        <is>
          <t>991000709469702656</t>
        </is>
      </c>
      <c r="AX1129" t="inlineStr">
        <is>
          <t>991000709469702656</t>
        </is>
      </c>
      <c r="AY1129" t="inlineStr">
        <is>
          <t>2266790020002656</t>
        </is>
      </c>
      <c r="AZ1129" t="inlineStr">
        <is>
          <t>BOOK</t>
        </is>
      </c>
      <c r="BB1129" t="inlineStr">
        <is>
          <t>9780935702156</t>
        </is>
      </c>
      <c r="BC1129" t="inlineStr">
        <is>
          <t>32285001517241</t>
        </is>
      </c>
      <c r="BD1129" t="inlineStr">
        <is>
          <t>893683691</t>
        </is>
      </c>
    </row>
    <row r="1130">
      <c r="A1130" t="inlineStr">
        <is>
          <t>No</t>
        </is>
      </c>
      <c r="B1130" t="inlineStr">
        <is>
          <t>QD501 .R775</t>
        </is>
      </c>
      <c r="C1130" t="inlineStr">
        <is>
          <t>0                      QD 0501000R  775</t>
        </is>
      </c>
      <c r="D1130" t="inlineStr">
        <is>
          <t>Dynamic physical chemistry; a textbook of thermodynamics, equilibria, and kinetics.</t>
        </is>
      </c>
      <c r="F1130" t="inlineStr">
        <is>
          <t>No</t>
        </is>
      </c>
      <c r="G1130" t="inlineStr">
        <is>
          <t>1</t>
        </is>
      </c>
      <c r="H1130" t="inlineStr">
        <is>
          <t>No</t>
        </is>
      </c>
      <c r="I1130" t="inlineStr">
        <is>
          <t>No</t>
        </is>
      </c>
      <c r="J1130" t="inlineStr">
        <is>
          <t>0</t>
        </is>
      </c>
      <c r="K1130" t="inlineStr">
        <is>
          <t>Rose, John, 1917-</t>
        </is>
      </c>
      <c r="L1130" t="inlineStr">
        <is>
          <t>New York, Wiley [1961]</t>
        </is>
      </c>
      <c r="M1130" t="inlineStr">
        <is>
          <t>1961</t>
        </is>
      </c>
      <c r="O1130" t="inlineStr">
        <is>
          <t>eng</t>
        </is>
      </c>
      <c r="P1130" t="inlineStr">
        <is>
          <t xml:space="preserve">xx </t>
        </is>
      </c>
      <c r="R1130" t="inlineStr">
        <is>
          <t xml:space="preserve">QD </t>
        </is>
      </c>
      <c r="S1130" t="n">
        <v>3</v>
      </c>
      <c r="T1130" t="n">
        <v>3</v>
      </c>
      <c r="U1130" t="inlineStr">
        <is>
          <t>1999-09-19</t>
        </is>
      </c>
      <c r="V1130" t="inlineStr">
        <is>
          <t>1999-09-19</t>
        </is>
      </c>
      <c r="W1130" t="inlineStr">
        <is>
          <t>1997-06-17</t>
        </is>
      </c>
      <c r="X1130" t="inlineStr">
        <is>
          <t>1997-06-17</t>
        </is>
      </c>
      <c r="Y1130" t="n">
        <v>195</v>
      </c>
      <c r="Z1130" t="n">
        <v>170</v>
      </c>
      <c r="AA1130" t="n">
        <v>182</v>
      </c>
      <c r="AB1130" t="n">
        <v>1</v>
      </c>
      <c r="AC1130" t="n">
        <v>1</v>
      </c>
      <c r="AD1130" t="n">
        <v>6</v>
      </c>
      <c r="AE1130" t="n">
        <v>6</v>
      </c>
      <c r="AF1130" t="n">
        <v>1</v>
      </c>
      <c r="AG1130" t="n">
        <v>1</v>
      </c>
      <c r="AH1130" t="n">
        <v>3</v>
      </c>
      <c r="AI1130" t="n">
        <v>3</v>
      </c>
      <c r="AJ1130" t="n">
        <v>4</v>
      </c>
      <c r="AK1130" t="n">
        <v>4</v>
      </c>
      <c r="AL1130" t="n">
        <v>0</v>
      </c>
      <c r="AM1130" t="n">
        <v>0</v>
      </c>
      <c r="AN1130" t="n">
        <v>0</v>
      </c>
      <c r="AO1130" t="n">
        <v>0</v>
      </c>
      <c r="AP1130" t="inlineStr">
        <is>
          <t>No</t>
        </is>
      </c>
      <c r="AQ1130" t="inlineStr">
        <is>
          <t>Yes</t>
        </is>
      </c>
      <c r="AR1130">
        <f>HYPERLINK("http://catalog.hathitrust.org/Record/001114208","HathiTrust Record")</f>
        <v/>
      </c>
      <c r="AS1130">
        <f>HYPERLINK("https://creighton-primo.hosted.exlibrisgroup.com/primo-explore/search?tab=default_tab&amp;search_scope=EVERYTHING&amp;vid=01CRU&amp;lang=en_US&amp;offset=0&amp;query=any,contains,991002959219702656","Catalog Record")</f>
        <v/>
      </c>
      <c r="AT1130">
        <f>HYPERLINK("http://www.worldcat.org/oclc/543260","WorldCat Record")</f>
        <v/>
      </c>
      <c r="AU1130" t="inlineStr">
        <is>
          <t>377353781:eng</t>
        </is>
      </c>
      <c r="AV1130" t="inlineStr">
        <is>
          <t>543260</t>
        </is>
      </c>
      <c r="AW1130" t="inlineStr">
        <is>
          <t>991002959219702656</t>
        </is>
      </c>
      <c r="AX1130" t="inlineStr">
        <is>
          <t>991002959219702656</t>
        </is>
      </c>
      <c r="AY1130" t="inlineStr">
        <is>
          <t>2265501000002656</t>
        </is>
      </c>
      <c r="AZ1130" t="inlineStr">
        <is>
          <t>BOOK</t>
        </is>
      </c>
      <c r="BC1130" t="inlineStr">
        <is>
          <t>32285002807963</t>
        </is>
      </c>
      <c r="BD1130" t="inlineStr">
        <is>
          <t>893799223</t>
        </is>
      </c>
    </row>
    <row r="1131">
      <c r="A1131" t="inlineStr">
        <is>
          <t>No</t>
        </is>
      </c>
      <c r="B1131" t="inlineStr">
        <is>
          <t>QD501 .S938</t>
        </is>
      </c>
      <c r="C1131" t="inlineStr">
        <is>
          <t>0                      QD 0501000S  938</t>
        </is>
      </c>
      <c r="D1131" t="inlineStr">
        <is>
          <t>Kinetics of inorganic reactions, by A.G. Sykes.</t>
        </is>
      </c>
      <c r="F1131" t="inlineStr">
        <is>
          <t>No</t>
        </is>
      </c>
      <c r="G1131" t="inlineStr">
        <is>
          <t>1</t>
        </is>
      </c>
      <c r="H1131" t="inlineStr">
        <is>
          <t>No</t>
        </is>
      </c>
      <c r="I1131" t="inlineStr">
        <is>
          <t>No</t>
        </is>
      </c>
      <c r="J1131" t="inlineStr">
        <is>
          <t>0</t>
        </is>
      </c>
      <c r="K1131" t="inlineStr">
        <is>
          <t>Sykes, A. Geoffrey.</t>
        </is>
      </c>
      <c r="L1131" t="inlineStr">
        <is>
          <t>Oxford, New York [etc.] Pergamon, 1966.</t>
        </is>
      </c>
      <c r="M1131" t="inlineStr">
        <is>
          <t>1966</t>
        </is>
      </c>
      <c r="O1131" t="inlineStr">
        <is>
          <t>eng</t>
        </is>
      </c>
      <c r="P1131" t="inlineStr">
        <is>
          <t>enk</t>
        </is>
      </c>
      <c r="Q1131" t="inlineStr">
        <is>
          <t>Commonwealth &amp; International Library. Chemistry Division</t>
        </is>
      </c>
      <c r="R1131" t="inlineStr">
        <is>
          <t xml:space="preserve">QD </t>
        </is>
      </c>
      <c r="S1131" t="n">
        <v>2</v>
      </c>
      <c r="T1131" t="n">
        <v>2</v>
      </c>
      <c r="U1131" t="inlineStr">
        <is>
          <t>1998-10-22</t>
        </is>
      </c>
      <c r="V1131" t="inlineStr">
        <is>
          <t>1998-10-22</t>
        </is>
      </c>
      <c r="W1131" t="inlineStr">
        <is>
          <t>1997-06-17</t>
        </is>
      </c>
      <c r="X1131" t="inlineStr">
        <is>
          <t>1997-06-17</t>
        </is>
      </c>
      <c r="Y1131" t="n">
        <v>496</v>
      </c>
      <c r="Z1131" t="n">
        <v>358</v>
      </c>
      <c r="AA1131" t="n">
        <v>403</v>
      </c>
      <c r="AB1131" t="n">
        <v>3</v>
      </c>
      <c r="AC1131" t="n">
        <v>3</v>
      </c>
      <c r="AD1131" t="n">
        <v>17</v>
      </c>
      <c r="AE1131" t="n">
        <v>19</v>
      </c>
      <c r="AF1131" t="n">
        <v>7</v>
      </c>
      <c r="AG1131" t="n">
        <v>8</v>
      </c>
      <c r="AH1131" t="n">
        <v>4</v>
      </c>
      <c r="AI1131" t="n">
        <v>6</v>
      </c>
      <c r="AJ1131" t="n">
        <v>8</v>
      </c>
      <c r="AK1131" t="n">
        <v>8</v>
      </c>
      <c r="AL1131" t="n">
        <v>2</v>
      </c>
      <c r="AM1131" t="n">
        <v>2</v>
      </c>
      <c r="AN1131" t="n">
        <v>0</v>
      </c>
      <c r="AO1131" t="n">
        <v>0</v>
      </c>
      <c r="AP1131" t="inlineStr">
        <is>
          <t>No</t>
        </is>
      </c>
      <c r="AQ1131" t="inlineStr">
        <is>
          <t>Yes</t>
        </is>
      </c>
      <c r="AR1131">
        <f>HYPERLINK("http://catalog.hathitrust.org/Record/001034842","HathiTrust Record")</f>
        <v/>
      </c>
      <c r="AS1131">
        <f>HYPERLINK("https://creighton-primo.hosted.exlibrisgroup.com/primo-explore/search?tab=default_tab&amp;search_scope=EVERYTHING&amp;vid=01CRU&amp;lang=en_US&amp;offset=0&amp;query=any,contains,991002700459702656","Catalog Record")</f>
        <v/>
      </c>
      <c r="AT1131">
        <f>HYPERLINK("http://www.worldcat.org/oclc/405351","WorldCat Record")</f>
        <v/>
      </c>
      <c r="AU1131" t="inlineStr">
        <is>
          <t>1430361:eng</t>
        </is>
      </c>
      <c r="AV1131" t="inlineStr">
        <is>
          <t>405351</t>
        </is>
      </c>
      <c r="AW1131" t="inlineStr">
        <is>
          <t>991002700459702656</t>
        </is>
      </c>
      <c r="AX1131" t="inlineStr">
        <is>
          <t>991002700459702656</t>
        </is>
      </c>
      <c r="AY1131" t="inlineStr">
        <is>
          <t>2260551110002656</t>
        </is>
      </c>
      <c r="AZ1131" t="inlineStr">
        <is>
          <t>BOOK</t>
        </is>
      </c>
      <c r="BC1131" t="inlineStr">
        <is>
          <t>32285002808011</t>
        </is>
      </c>
      <c r="BD1131" t="inlineStr">
        <is>
          <t>893873881</t>
        </is>
      </c>
    </row>
    <row r="1132">
      <c r="A1132" t="inlineStr">
        <is>
          <t>No</t>
        </is>
      </c>
      <c r="B1132" t="inlineStr">
        <is>
          <t>QD501 .W46</t>
        </is>
      </c>
      <c r="C1132" t="inlineStr">
        <is>
          <t>0                      QD 0501000W  46</t>
        </is>
      </c>
      <c r="D1132" t="inlineStr">
        <is>
          <t>Diels-Alder reactions; organic background and physicochemical aspects, by A. Wassermann.</t>
        </is>
      </c>
      <c r="F1132" t="inlineStr">
        <is>
          <t>No</t>
        </is>
      </c>
      <c r="G1132" t="inlineStr">
        <is>
          <t>1</t>
        </is>
      </c>
      <c r="H1132" t="inlineStr">
        <is>
          <t>No</t>
        </is>
      </c>
      <c r="I1132" t="inlineStr">
        <is>
          <t>No</t>
        </is>
      </c>
      <c r="J1132" t="inlineStr">
        <is>
          <t>0</t>
        </is>
      </c>
      <c r="K1132" t="inlineStr">
        <is>
          <t>Wassermann, A. (Albert)</t>
        </is>
      </c>
      <c r="L1132" t="inlineStr">
        <is>
          <t>Amsterdam, New York, Elsevier Pub. Co., 1965.</t>
        </is>
      </c>
      <c r="M1132" t="inlineStr">
        <is>
          <t>1965</t>
        </is>
      </c>
      <c r="O1132" t="inlineStr">
        <is>
          <t>eng</t>
        </is>
      </c>
      <c r="P1132" t="inlineStr">
        <is>
          <t xml:space="preserve">ne </t>
        </is>
      </c>
      <c r="R1132" t="inlineStr">
        <is>
          <t xml:space="preserve">QD </t>
        </is>
      </c>
      <c r="S1132" t="n">
        <v>4</v>
      </c>
      <c r="T1132" t="n">
        <v>4</v>
      </c>
      <c r="U1132" t="inlineStr">
        <is>
          <t>2008-02-22</t>
        </is>
      </c>
      <c r="V1132" t="inlineStr">
        <is>
          <t>2008-02-22</t>
        </is>
      </c>
      <c r="W1132" t="inlineStr">
        <is>
          <t>1997-06-17</t>
        </is>
      </c>
      <c r="X1132" t="inlineStr">
        <is>
          <t>1997-06-17</t>
        </is>
      </c>
      <c r="Y1132" t="n">
        <v>420</v>
      </c>
      <c r="Z1132" t="n">
        <v>315</v>
      </c>
      <c r="AA1132" t="n">
        <v>318</v>
      </c>
      <c r="AB1132" t="n">
        <v>2</v>
      </c>
      <c r="AC1132" t="n">
        <v>2</v>
      </c>
      <c r="AD1132" t="n">
        <v>13</v>
      </c>
      <c r="AE1132" t="n">
        <v>13</v>
      </c>
      <c r="AF1132" t="n">
        <v>4</v>
      </c>
      <c r="AG1132" t="n">
        <v>4</v>
      </c>
      <c r="AH1132" t="n">
        <v>3</v>
      </c>
      <c r="AI1132" t="n">
        <v>3</v>
      </c>
      <c r="AJ1132" t="n">
        <v>8</v>
      </c>
      <c r="AK1132" t="n">
        <v>8</v>
      </c>
      <c r="AL1132" t="n">
        <v>1</v>
      </c>
      <c r="AM1132" t="n">
        <v>1</v>
      </c>
      <c r="AN1132" t="n">
        <v>0</v>
      </c>
      <c r="AO1132" t="n">
        <v>0</v>
      </c>
      <c r="AP1132" t="inlineStr">
        <is>
          <t>No</t>
        </is>
      </c>
      <c r="AQ1132" t="inlineStr">
        <is>
          <t>Yes</t>
        </is>
      </c>
      <c r="AR1132">
        <f>HYPERLINK("http://catalog.hathitrust.org/Record/001114218","HathiTrust Record")</f>
        <v/>
      </c>
      <c r="AS1132">
        <f>HYPERLINK("https://creighton-primo.hosted.exlibrisgroup.com/primo-explore/search?tab=default_tab&amp;search_scope=EVERYTHING&amp;vid=01CRU&amp;lang=en_US&amp;offset=0&amp;query=any,contains,991002959119702656","Catalog Record")</f>
        <v/>
      </c>
      <c r="AT1132">
        <f>HYPERLINK("http://www.worldcat.org/oclc/543237","WorldCat Record")</f>
        <v/>
      </c>
      <c r="AU1132" t="inlineStr">
        <is>
          <t>308569806:eng</t>
        </is>
      </c>
      <c r="AV1132" t="inlineStr">
        <is>
          <t>543237</t>
        </is>
      </c>
      <c r="AW1132" t="inlineStr">
        <is>
          <t>991002959119702656</t>
        </is>
      </c>
      <c r="AX1132" t="inlineStr">
        <is>
          <t>991002959119702656</t>
        </is>
      </c>
      <c r="AY1132" t="inlineStr">
        <is>
          <t>2265486800002656</t>
        </is>
      </c>
      <c r="AZ1132" t="inlineStr">
        <is>
          <t>BOOK</t>
        </is>
      </c>
      <c r="BC1132" t="inlineStr">
        <is>
          <t>32285002808045</t>
        </is>
      </c>
      <c r="BD1132" t="inlineStr">
        <is>
          <t>893721726</t>
        </is>
      </c>
    </row>
    <row r="1133">
      <c r="A1133" t="inlineStr">
        <is>
          <t>No</t>
        </is>
      </c>
      <c r="B1133" t="inlineStr">
        <is>
          <t>QD501.G852</t>
        </is>
      </c>
      <c r="C1133" t="inlineStr">
        <is>
          <t>0                      QD 0501000G  852</t>
        </is>
      </c>
      <c r="D1133" t="inlineStr">
        <is>
          <t>Principles of phase diagrams in materials systems.</t>
        </is>
      </c>
      <c r="F1133" t="inlineStr">
        <is>
          <t>No</t>
        </is>
      </c>
      <c r="G1133" t="inlineStr">
        <is>
          <t>1</t>
        </is>
      </c>
      <c r="H1133" t="inlineStr">
        <is>
          <t>No</t>
        </is>
      </c>
      <c r="I1133" t="inlineStr">
        <is>
          <t>No</t>
        </is>
      </c>
      <c r="J1133" t="inlineStr">
        <is>
          <t>0</t>
        </is>
      </c>
      <c r="K1133" t="inlineStr">
        <is>
          <t>Gordon, Paul, 1918-</t>
        </is>
      </c>
      <c r="L1133" t="inlineStr">
        <is>
          <t>New York, McGraw-Hill [1968]</t>
        </is>
      </c>
      <c r="M1133" t="inlineStr">
        <is>
          <t>1968</t>
        </is>
      </c>
      <c r="O1133" t="inlineStr">
        <is>
          <t>eng</t>
        </is>
      </c>
      <c r="P1133" t="inlineStr">
        <is>
          <t>nyu</t>
        </is>
      </c>
      <c r="Q1133" t="inlineStr">
        <is>
          <t>McGraw-Hill series in materials science and engineering</t>
        </is>
      </c>
      <c r="R1133" t="inlineStr">
        <is>
          <t xml:space="preserve">QD </t>
        </is>
      </c>
      <c r="S1133" t="n">
        <v>1</v>
      </c>
      <c r="T1133" t="n">
        <v>1</v>
      </c>
      <c r="U1133" t="inlineStr">
        <is>
          <t>1998-05-02</t>
        </is>
      </c>
      <c r="V1133" t="inlineStr">
        <is>
          <t>1998-05-02</t>
        </is>
      </c>
      <c r="W1133" t="inlineStr">
        <is>
          <t>1997-06-17</t>
        </is>
      </c>
      <c r="X1133" t="inlineStr">
        <is>
          <t>1997-06-17</t>
        </is>
      </c>
      <c r="Y1133" t="n">
        <v>368</v>
      </c>
      <c r="Z1133" t="n">
        <v>270</v>
      </c>
      <c r="AA1133" t="n">
        <v>298</v>
      </c>
      <c r="AB1133" t="n">
        <v>3</v>
      </c>
      <c r="AC1133" t="n">
        <v>3</v>
      </c>
      <c r="AD1133" t="n">
        <v>7</v>
      </c>
      <c r="AE1133" t="n">
        <v>7</v>
      </c>
      <c r="AF1133" t="n">
        <v>2</v>
      </c>
      <c r="AG1133" t="n">
        <v>2</v>
      </c>
      <c r="AH1133" t="n">
        <v>1</v>
      </c>
      <c r="AI1133" t="n">
        <v>1</v>
      </c>
      <c r="AJ1133" t="n">
        <v>2</v>
      </c>
      <c r="AK1133" t="n">
        <v>2</v>
      </c>
      <c r="AL1133" t="n">
        <v>2</v>
      </c>
      <c r="AM1133" t="n">
        <v>2</v>
      </c>
      <c r="AN1133" t="n">
        <v>0</v>
      </c>
      <c r="AO1133" t="n">
        <v>0</v>
      </c>
      <c r="AP1133" t="inlineStr">
        <is>
          <t>No</t>
        </is>
      </c>
      <c r="AQ1133" t="inlineStr">
        <is>
          <t>Yes</t>
        </is>
      </c>
      <c r="AR1133">
        <f>HYPERLINK("http://catalog.hathitrust.org/Record/001034730","HathiTrust Record")</f>
        <v/>
      </c>
      <c r="AS1133">
        <f>HYPERLINK("https://creighton-primo.hosted.exlibrisgroup.com/primo-explore/search?tab=default_tab&amp;search_scope=EVERYTHING&amp;vid=01CRU&amp;lang=en_US&amp;offset=0&amp;query=any,contains,991002331069702656","Catalog Record")</f>
        <v/>
      </c>
      <c r="AT1133">
        <f>HYPERLINK("http://www.worldcat.org/oclc/322467","WorldCat Record")</f>
        <v/>
      </c>
      <c r="AU1133" t="inlineStr">
        <is>
          <t>1404433:eng</t>
        </is>
      </c>
      <c r="AV1133" t="inlineStr">
        <is>
          <t>322467</t>
        </is>
      </c>
      <c r="AW1133" t="inlineStr">
        <is>
          <t>991002331069702656</t>
        </is>
      </c>
      <c r="AX1133" t="inlineStr">
        <is>
          <t>991002331069702656</t>
        </is>
      </c>
      <c r="AY1133" t="inlineStr">
        <is>
          <t>2257228890002656</t>
        </is>
      </c>
      <c r="AZ1133" t="inlineStr">
        <is>
          <t>BOOK</t>
        </is>
      </c>
      <c r="BC1133" t="inlineStr">
        <is>
          <t>32285002807666</t>
        </is>
      </c>
      <c r="BD1133" t="inlineStr">
        <is>
          <t>893226715</t>
        </is>
      </c>
    </row>
    <row r="1134">
      <c r="A1134" t="inlineStr">
        <is>
          <t>No</t>
        </is>
      </c>
      <c r="B1134" t="inlineStr">
        <is>
          <t>QD502 .D73</t>
        </is>
      </c>
      <c r="C1134" t="inlineStr">
        <is>
          <t>0                      QD 0502000D  73</t>
        </is>
      </c>
      <c r="D1134" t="inlineStr">
        <is>
          <t>Kinetics applied to organic reactions / Wiendelt Drenth, Harold Kwart.</t>
        </is>
      </c>
      <c r="F1134" t="inlineStr">
        <is>
          <t>No</t>
        </is>
      </c>
      <c r="G1134" t="inlineStr">
        <is>
          <t>1</t>
        </is>
      </c>
      <c r="H1134" t="inlineStr">
        <is>
          <t>No</t>
        </is>
      </c>
      <c r="I1134" t="inlineStr">
        <is>
          <t>No</t>
        </is>
      </c>
      <c r="J1134" t="inlineStr">
        <is>
          <t>0</t>
        </is>
      </c>
      <c r="K1134" t="inlineStr">
        <is>
          <t>Drenth, Wiendelt.</t>
        </is>
      </c>
      <c r="L1134" t="inlineStr">
        <is>
          <t>New York : M. Dekker, c1980.</t>
        </is>
      </c>
      <c r="M1134" t="inlineStr">
        <is>
          <t>1980</t>
        </is>
      </c>
      <c r="O1134" t="inlineStr">
        <is>
          <t>eng</t>
        </is>
      </c>
      <c r="P1134" t="inlineStr">
        <is>
          <t>nyu</t>
        </is>
      </c>
      <c r="Q1134" t="inlineStr">
        <is>
          <t>Studies in organic chemistry ; v. 9</t>
        </is>
      </c>
      <c r="R1134" t="inlineStr">
        <is>
          <t xml:space="preserve">QD </t>
        </is>
      </c>
      <c r="S1134" t="n">
        <v>3</v>
      </c>
      <c r="T1134" t="n">
        <v>3</v>
      </c>
      <c r="U1134" t="inlineStr">
        <is>
          <t>1997-09-10</t>
        </is>
      </c>
      <c r="V1134" t="inlineStr">
        <is>
          <t>1997-09-10</t>
        </is>
      </c>
      <c r="W1134" t="inlineStr">
        <is>
          <t>1990-08-15</t>
        </is>
      </c>
      <c r="X1134" t="inlineStr">
        <is>
          <t>1990-08-15</t>
        </is>
      </c>
      <c r="Y1134" t="n">
        <v>271</v>
      </c>
      <c r="Z1134" t="n">
        <v>188</v>
      </c>
      <c r="AA1134" t="n">
        <v>189</v>
      </c>
      <c r="AB1134" t="n">
        <v>2</v>
      </c>
      <c r="AC1134" t="n">
        <v>2</v>
      </c>
      <c r="AD1134" t="n">
        <v>4</v>
      </c>
      <c r="AE1134" t="n">
        <v>4</v>
      </c>
      <c r="AF1134" t="n">
        <v>0</v>
      </c>
      <c r="AG1134" t="n">
        <v>0</v>
      </c>
      <c r="AH1134" t="n">
        <v>2</v>
      </c>
      <c r="AI1134" t="n">
        <v>2</v>
      </c>
      <c r="AJ1134" t="n">
        <v>3</v>
      </c>
      <c r="AK1134" t="n">
        <v>3</v>
      </c>
      <c r="AL1134" t="n">
        <v>1</v>
      </c>
      <c r="AM1134" t="n">
        <v>1</v>
      </c>
      <c r="AN1134" t="n">
        <v>0</v>
      </c>
      <c r="AO1134" t="n">
        <v>0</v>
      </c>
      <c r="AP1134" t="inlineStr">
        <is>
          <t>No</t>
        </is>
      </c>
      <c r="AQ1134" t="inlineStr">
        <is>
          <t>No</t>
        </is>
      </c>
      <c r="AS1134">
        <f>HYPERLINK("https://creighton-primo.hosted.exlibrisgroup.com/primo-explore/search?tab=default_tab&amp;search_scope=EVERYTHING&amp;vid=01CRU&amp;lang=en_US&amp;offset=0&amp;query=any,contains,991004896119702656","Catalog Record")</f>
        <v/>
      </c>
      <c r="AT1134">
        <f>HYPERLINK("http://www.worldcat.org/oclc/5893967","WorldCat Record")</f>
        <v/>
      </c>
      <c r="AU1134" t="inlineStr">
        <is>
          <t>20353631:eng</t>
        </is>
      </c>
      <c r="AV1134" t="inlineStr">
        <is>
          <t>5893967</t>
        </is>
      </c>
      <c r="AW1134" t="inlineStr">
        <is>
          <t>991004896119702656</t>
        </is>
      </c>
      <c r="AX1134" t="inlineStr">
        <is>
          <t>991004896119702656</t>
        </is>
      </c>
      <c r="AY1134" t="inlineStr">
        <is>
          <t>2264954870002656</t>
        </is>
      </c>
      <c r="AZ1134" t="inlineStr">
        <is>
          <t>BOOK</t>
        </is>
      </c>
      <c r="BB1134" t="inlineStr">
        <is>
          <t>9780824768898</t>
        </is>
      </c>
      <c r="BC1134" t="inlineStr">
        <is>
          <t>32285000269091</t>
        </is>
      </c>
      <c r="BD1134" t="inlineStr">
        <is>
          <t>893430587</t>
        </is>
      </c>
    </row>
    <row r="1135">
      <c r="A1135" t="inlineStr">
        <is>
          <t>No</t>
        </is>
      </c>
      <c r="B1135" t="inlineStr">
        <is>
          <t>QD502 .G73 1990</t>
        </is>
      </c>
      <c r="C1135" t="inlineStr">
        <is>
          <t>0                      QD 0502000G  73          1990</t>
        </is>
      </c>
      <c r="D1135" t="inlineStr">
        <is>
          <t>Chemical oscillations and instabilities : non-linear chemical kinetics / Peter Gray and Stephen K. Scott.</t>
        </is>
      </c>
      <c r="F1135" t="inlineStr">
        <is>
          <t>No</t>
        </is>
      </c>
      <c r="G1135" t="inlineStr">
        <is>
          <t>1</t>
        </is>
      </c>
      <c r="H1135" t="inlineStr">
        <is>
          <t>No</t>
        </is>
      </c>
      <c r="I1135" t="inlineStr">
        <is>
          <t>No</t>
        </is>
      </c>
      <c r="J1135" t="inlineStr">
        <is>
          <t>0</t>
        </is>
      </c>
      <c r="K1135" t="inlineStr">
        <is>
          <t>Gray, Peter, 1933-</t>
        </is>
      </c>
      <c r="L1135" t="inlineStr">
        <is>
          <t>Oxford [England] : Clarendon Press ; New York : Oxford University Press, c1990.</t>
        </is>
      </c>
      <c r="M1135" t="inlineStr">
        <is>
          <t>1990</t>
        </is>
      </c>
      <c r="O1135" t="inlineStr">
        <is>
          <t>eng</t>
        </is>
      </c>
      <c r="P1135" t="inlineStr">
        <is>
          <t>enk</t>
        </is>
      </c>
      <c r="Q1135" t="inlineStr">
        <is>
          <t>The International series of monographs on chemistry ; 21</t>
        </is>
      </c>
      <c r="R1135" t="inlineStr">
        <is>
          <t xml:space="preserve">QD </t>
        </is>
      </c>
      <c r="S1135" t="n">
        <v>3</v>
      </c>
      <c r="T1135" t="n">
        <v>3</v>
      </c>
      <c r="U1135" t="inlineStr">
        <is>
          <t>2005-04-18</t>
        </is>
      </c>
      <c r="V1135" t="inlineStr">
        <is>
          <t>2005-04-18</t>
        </is>
      </c>
      <c r="W1135" t="inlineStr">
        <is>
          <t>1991-01-03</t>
        </is>
      </c>
      <c r="X1135" t="inlineStr">
        <is>
          <t>1991-01-03</t>
        </is>
      </c>
      <c r="Y1135" t="n">
        <v>333</v>
      </c>
      <c r="Z1135" t="n">
        <v>232</v>
      </c>
      <c r="AA1135" t="n">
        <v>253</v>
      </c>
      <c r="AB1135" t="n">
        <v>2</v>
      </c>
      <c r="AC1135" t="n">
        <v>2</v>
      </c>
      <c r="AD1135" t="n">
        <v>10</v>
      </c>
      <c r="AE1135" t="n">
        <v>11</v>
      </c>
      <c r="AF1135" t="n">
        <v>0</v>
      </c>
      <c r="AG1135" t="n">
        <v>1</v>
      </c>
      <c r="AH1135" t="n">
        <v>4</v>
      </c>
      <c r="AI1135" t="n">
        <v>4</v>
      </c>
      <c r="AJ1135" t="n">
        <v>7</v>
      </c>
      <c r="AK1135" t="n">
        <v>8</v>
      </c>
      <c r="AL1135" t="n">
        <v>1</v>
      </c>
      <c r="AM1135" t="n">
        <v>1</v>
      </c>
      <c r="AN1135" t="n">
        <v>0</v>
      </c>
      <c r="AO1135" t="n">
        <v>0</v>
      </c>
      <c r="AP1135" t="inlineStr">
        <is>
          <t>No</t>
        </is>
      </c>
      <c r="AQ1135" t="inlineStr">
        <is>
          <t>No</t>
        </is>
      </c>
      <c r="AS1135">
        <f>HYPERLINK("https://creighton-primo.hosted.exlibrisgroup.com/primo-explore/search?tab=default_tab&amp;search_scope=EVERYTHING&amp;vid=01CRU&amp;lang=en_US&amp;offset=0&amp;query=any,contains,991001563179702656","Catalog Record")</f>
        <v/>
      </c>
      <c r="AT1135">
        <f>HYPERLINK("http://www.worldcat.org/oclc/20318785","WorldCat Record")</f>
        <v/>
      </c>
      <c r="AU1135" t="inlineStr">
        <is>
          <t>906035143:eng</t>
        </is>
      </c>
      <c r="AV1135" t="inlineStr">
        <is>
          <t>20318785</t>
        </is>
      </c>
      <c r="AW1135" t="inlineStr">
        <is>
          <t>991001563179702656</t>
        </is>
      </c>
      <c r="AX1135" t="inlineStr">
        <is>
          <t>991001563179702656</t>
        </is>
      </c>
      <c r="AY1135" t="inlineStr">
        <is>
          <t>2257770310002656</t>
        </is>
      </c>
      <c r="AZ1135" t="inlineStr">
        <is>
          <t>BOOK</t>
        </is>
      </c>
      <c r="BB1135" t="inlineStr">
        <is>
          <t>9780198556466</t>
        </is>
      </c>
      <c r="BC1135" t="inlineStr">
        <is>
          <t>32285000406495</t>
        </is>
      </c>
      <c r="BD1135" t="inlineStr">
        <is>
          <t>893772662</t>
        </is>
      </c>
    </row>
    <row r="1136">
      <c r="A1136" t="inlineStr">
        <is>
          <t>No</t>
        </is>
      </c>
      <c r="B1136" t="inlineStr">
        <is>
          <t>QD502 .M35 2001</t>
        </is>
      </c>
      <c r="C1136" t="inlineStr">
        <is>
          <t>0                      QD 0502000M  35          2001</t>
        </is>
      </c>
      <c r="D1136" t="inlineStr">
        <is>
          <t>Chemical kinetics and catalysis / Richard I. Masel.</t>
        </is>
      </c>
      <c r="F1136" t="inlineStr">
        <is>
          <t>No</t>
        </is>
      </c>
      <c r="G1136" t="inlineStr">
        <is>
          <t>1</t>
        </is>
      </c>
      <c r="H1136" t="inlineStr">
        <is>
          <t>No</t>
        </is>
      </c>
      <c r="I1136" t="inlineStr">
        <is>
          <t>No</t>
        </is>
      </c>
      <c r="J1136" t="inlineStr">
        <is>
          <t>0</t>
        </is>
      </c>
      <c r="K1136" t="inlineStr">
        <is>
          <t>Masel, Richard I., 1951-</t>
        </is>
      </c>
      <c r="L1136" t="inlineStr">
        <is>
          <t>New York : Wiley-Interscience, c2001.</t>
        </is>
      </c>
      <c r="M1136" t="inlineStr">
        <is>
          <t>2001</t>
        </is>
      </c>
      <c r="O1136" t="inlineStr">
        <is>
          <t>eng</t>
        </is>
      </c>
      <c r="P1136" t="inlineStr">
        <is>
          <t>nyu</t>
        </is>
      </c>
      <c r="R1136" t="inlineStr">
        <is>
          <t xml:space="preserve">QD </t>
        </is>
      </c>
      <c r="S1136" t="n">
        <v>2</v>
      </c>
      <c r="T1136" t="n">
        <v>2</v>
      </c>
      <c r="U1136" t="inlineStr">
        <is>
          <t>2002-03-25</t>
        </is>
      </c>
      <c r="V1136" t="inlineStr">
        <is>
          <t>2002-03-25</t>
        </is>
      </c>
      <c r="W1136" t="inlineStr">
        <is>
          <t>2002-02-28</t>
        </is>
      </c>
      <c r="X1136" t="inlineStr">
        <is>
          <t>2002-02-28</t>
        </is>
      </c>
      <c r="Y1136" t="n">
        <v>371</v>
      </c>
      <c r="Z1136" t="n">
        <v>253</v>
      </c>
      <c r="AA1136" t="n">
        <v>253</v>
      </c>
      <c r="AB1136" t="n">
        <v>2</v>
      </c>
      <c r="AC1136" t="n">
        <v>2</v>
      </c>
      <c r="AD1136" t="n">
        <v>10</v>
      </c>
      <c r="AE1136" t="n">
        <v>10</v>
      </c>
      <c r="AF1136" t="n">
        <v>1</v>
      </c>
      <c r="AG1136" t="n">
        <v>1</v>
      </c>
      <c r="AH1136" t="n">
        <v>4</v>
      </c>
      <c r="AI1136" t="n">
        <v>4</v>
      </c>
      <c r="AJ1136" t="n">
        <v>6</v>
      </c>
      <c r="AK1136" t="n">
        <v>6</v>
      </c>
      <c r="AL1136" t="n">
        <v>1</v>
      </c>
      <c r="AM1136" t="n">
        <v>1</v>
      </c>
      <c r="AN1136" t="n">
        <v>0</v>
      </c>
      <c r="AO1136" t="n">
        <v>0</v>
      </c>
      <c r="AP1136" t="inlineStr">
        <is>
          <t>No</t>
        </is>
      </c>
      <c r="AQ1136" t="inlineStr">
        <is>
          <t>No</t>
        </is>
      </c>
      <c r="AS1136">
        <f>HYPERLINK("https://creighton-primo.hosted.exlibrisgroup.com/primo-explore/search?tab=default_tab&amp;search_scope=EVERYTHING&amp;vid=01CRU&amp;lang=en_US&amp;offset=0&amp;query=any,contains,991003728249702656","Catalog Record")</f>
        <v/>
      </c>
      <c r="AT1136">
        <f>HYPERLINK("http://www.worldcat.org/oclc/44425413","WorldCat Record")</f>
        <v/>
      </c>
      <c r="AU1136" t="inlineStr">
        <is>
          <t>33770751:eng</t>
        </is>
      </c>
      <c r="AV1136" t="inlineStr">
        <is>
          <t>44425413</t>
        </is>
      </c>
      <c r="AW1136" t="inlineStr">
        <is>
          <t>991003728249702656</t>
        </is>
      </c>
      <c r="AX1136" t="inlineStr">
        <is>
          <t>991003728249702656</t>
        </is>
      </c>
      <c r="AY1136" t="inlineStr">
        <is>
          <t>2259100390002656</t>
        </is>
      </c>
      <c r="AZ1136" t="inlineStr">
        <is>
          <t>BOOK</t>
        </is>
      </c>
      <c r="BB1136" t="inlineStr">
        <is>
          <t>9780471241973</t>
        </is>
      </c>
      <c r="BC1136" t="inlineStr">
        <is>
          <t>32285004458716</t>
        </is>
      </c>
      <c r="BD1136" t="inlineStr">
        <is>
          <t>893894042</t>
        </is>
      </c>
    </row>
    <row r="1137">
      <c r="A1137" t="inlineStr">
        <is>
          <t>No</t>
        </is>
      </c>
      <c r="B1137" t="inlineStr">
        <is>
          <t>QD502 .M66 1981</t>
        </is>
      </c>
      <c r="C1137" t="inlineStr">
        <is>
          <t>0                      QD 0502000M  66          1981</t>
        </is>
      </c>
      <c r="D1137" t="inlineStr">
        <is>
          <t>Kinetics and mechanism.</t>
        </is>
      </c>
      <c r="F1137" t="inlineStr">
        <is>
          <t>No</t>
        </is>
      </c>
      <c r="G1137" t="inlineStr">
        <is>
          <t>1</t>
        </is>
      </c>
      <c r="H1137" t="inlineStr">
        <is>
          <t>No</t>
        </is>
      </c>
      <c r="I1137" t="inlineStr">
        <is>
          <t>No</t>
        </is>
      </c>
      <c r="J1137" t="inlineStr">
        <is>
          <t>0</t>
        </is>
      </c>
      <c r="K1137" t="inlineStr">
        <is>
          <t>Moore, John W.</t>
        </is>
      </c>
      <c r="L1137" t="inlineStr">
        <is>
          <t>New York : Wiley, c1981.</t>
        </is>
      </c>
      <c r="M1137" t="inlineStr">
        <is>
          <t>1981</t>
        </is>
      </c>
      <c r="N1137" t="inlineStr">
        <is>
          <t>3rd ed. / John W. Moore, Ralph G. Pearson.</t>
        </is>
      </c>
      <c r="O1137" t="inlineStr">
        <is>
          <t>eng</t>
        </is>
      </c>
      <c r="P1137" t="inlineStr">
        <is>
          <t>nyu</t>
        </is>
      </c>
      <c r="R1137" t="inlineStr">
        <is>
          <t xml:space="preserve">QD </t>
        </is>
      </c>
      <c r="S1137" t="n">
        <v>19</v>
      </c>
      <c r="T1137" t="n">
        <v>19</v>
      </c>
      <c r="U1137" t="inlineStr">
        <is>
          <t>1996-09-26</t>
        </is>
      </c>
      <c r="V1137" t="inlineStr">
        <is>
          <t>1996-09-26</t>
        </is>
      </c>
      <c r="W1137" t="inlineStr">
        <is>
          <t>1990-08-15</t>
        </is>
      </c>
      <c r="X1137" t="inlineStr">
        <is>
          <t>1990-08-15</t>
        </is>
      </c>
      <c r="Y1137" t="n">
        <v>839</v>
      </c>
      <c r="Z1137" t="n">
        <v>660</v>
      </c>
      <c r="AA1137" t="n">
        <v>662</v>
      </c>
      <c r="AB1137" t="n">
        <v>7</v>
      </c>
      <c r="AC1137" t="n">
        <v>7</v>
      </c>
      <c r="AD1137" t="n">
        <v>31</v>
      </c>
      <c r="AE1137" t="n">
        <v>31</v>
      </c>
      <c r="AF1137" t="n">
        <v>11</v>
      </c>
      <c r="AG1137" t="n">
        <v>11</v>
      </c>
      <c r="AH1137" t="n">
        <v>6</v>
      </c>
      <c r="AI1137" t="n">
        <v>6</v>
      </c>
      <c r="AJ1137" t="n">
        <v>17</v>
      </c>
      <c r="AK1137" t="n">
        <v>17</v>
      </c>
      <c r="AL1137" t="n">
        <v>6</v>
      </c>
      <c r="AM1137" t="n">
        <v>6</v>
      </c>
      <c r="AN1137" t="n">
        <v>0</v>
      </c>
      <c r="AO1137" t="n">
        <v>0</v>
      </c>
      <c r="AP1137" t="inlineStr">
        <is>
          <t>No</t>
        </is>
      </c>
      <c r="AQ1137" t="inlineStr">
        <is>
          <t>No</t>
        </is>
      </c>
      <c r="AS1137">
        <f>HYPERLINK("https://creighton-primo.hosted.exlibrisgroup.com/primo-explore/search?tab=default_tab&amp;search_scope=EVERYTHING&amp;vid=01CRU&amp;lang=en_US&amp;offset=0&amp;query=any,contains,991005100299702656","Catalog Record")</f>
        <v/>
      </c>
      <c r="AT1137">
        <f>HYPERLINK("http://www.worldcat.org/oclc/7282515","WorldCat Record")</f>
        <v/>
      </c>
      <c r="AU1137" t="inlineStr">
        <is>
          <t>5218801836:eng</t>
        </is>
      </c>
      <c r="AV1137" t="inlineStr">
        <is>
          <t>7282515</t>
        </is>
      </c>
      <c r="AW1137" t="inlineStr">
        <is>
          <t>991005100299702656</t>
        </is>
      </c>
      <c r="AX1137" t="inlineStr">
        <is>
          <t>991005100299702656</t>
        </is>
      </c>
      <c r="AY1137" t="inlineStr">
        <is>
          <t>2257938750002656</t>
        </is>
      </c>
      <c r="AZ1137" t="inlineStr">
        <is>
          <t>BOOK</t>
        </is>
      </c>
      <c r="BB1137" t="inlineStr">
        <is>
          <t>9780471035589</t>
        </is>
      </c>
      <c r="BC1137" t="inlineStr">
        <is>
          <t>32285000269125</t>
        </is>
      </c>
      <c r="BD1137" t="inlineStr">
        <is>
          <t>893430842</t>
        </is>
      </c>
    </row>
    <row r="1138">
      <c r="A1138" t="inlineStr">
        <is>
          <t>No</t>
        </is>
      </c>
      <c r="B1138" t="inlineStr">
        <is>
          <t>QD502 .N37 1978</t>
        </is>
      </c>
      <c r="C1138" t="inlineStr">
        <is>
          <t>0                      QD 0502000N  37          1978</t>
        </is>
      </c>
      <c r="D1138" t="inlineStr">
        <is>
          <t>Techniques and applications of fast reactions in solution : proceedings of the Nato Advanced Study Institute on New Applications of Chemical Relaxation Spectrometry and Other Fast Reaction Methods in Solution, held at the University College of Wales, Aberystwyth, September 10-20, 1978 / edited by W. J. Gettins and E. Wyn-Jones.</t>
        </is>
      </c>
      <c r="F1138" t="inlineStr">
        <is>
          <t>No</t>
        </is>
      </c>
      <c r="G1138" t="inlineStr">
        <is>
          <t>1</t>
        </is>
      </c>
      <c r="H1138" t="inlineStr">
        <is>
          <t>No</t>
        </is>
      </c>
      <c r="I1138" t="inlineStr">
        <is>
          <t>No</t>
        </is>
      </c>
      <c r="J1138" t="inlineStr">
        <is>
          <t>0</t>
        </is>
      </c>
      <c r="K1138" t="inlineStr">
        <is>
          <t>NATO Advanced Study Institute on New Applications of Chemical Relaxation Spectrometry and Other Fast Reaction Methods in Solution (1978 : University College of Wales)</t>
        </is>
      </c>
      <c r="L1138" t="inlineStr">
        <is>
          <t>Dordrecht, Holland ; Boston : D. Reidel Pub. Co., c1979.</t>
        </is>
      </c>
      <c r="M1138" t="inlineStr">
        <is>
          <t>1979</t>
        </is>
      </c>
      <c r="O1138" t="inlineStr">
        <is>
          <t>eng</t>
        </is>
      </c>
      <c r="P1138" t="inlineStr">
        <is>
          <t xml:space="preserve">ne </t>
        </is>
      </c>
      <c r="Q1138" t="inlineStr">
        <is>
          <t>NATO advanced study institutes series. Series C, Mathematical and physical sciences ; v. 50</t>
        </is>
      </c>
      <c r="R1138" t="inlineStr">
        <is>
          <t xml:space="preserve">QD </t>
        </is>
      </c>
      <c r="S1138" t="n">
        <v>3</v>
      </c>
      <c r="T1138" t="n">
        <v>3</v>
      </c>
      <c r="U1138" t="inlineStr">
        <is>
          <t>1995-02-24</t>
        </is>
      </c>
      <c r="V1138" t="inlineStr">
        <is>
          <t>1995-02-24</t>
        </is>
      </c>
      <c r="W1138" t="inlineStr">
        <is>
          <t>1993-02-10</t>
        </is>
      </c>
      <c r="X1138" t="inlineStr">
        <is>
          <t>1993-02-10</t>
        </is>
      </c>
      <c r="Y1138" t="n">
        <v>150</v>
      </c>
      <c r="Z1138" t="n">
        <v>96</v>
      </c>
      <c r="AA1138" t="n">
        <v>109</v>
      </c>
      <c r="AB1138" t="n">
        <v>2</v>
      </c>
      <c r="AC1138" t="n">
        <v>2</v>
      </c>
      <c r="AD1138" t="n">
        <v>3</v>
      </c>
      <c r="AE1138" t="n">
        <v>3</v>
      </c>
      <c r="AF1138" t="n">
        <v>1</v>
      </c>
      <c r="AG1138" t="n">
        <v>1</v>
      </c>
      <c r="AH1138" t="n">
        <v>1</v>
      </c>
      <c r="AI1138" t="n">
        <v>1</v>
      </c>
      <c r="AJ1138" t="n">
        <v>1</v>
      </c>
      <c r="AK1138" t="n">
        <v>1</v>
      </c>
      <c r="AL1138" t="n">
        <v>1</v>
      </c>
      <c r="AM1138" t="n">
        <v>1</v>
      </c>
      <c r="AN1138" t="n">
        <v>0</v>
      </c>
      <c r="AO1138" t="n">
        <v>0</v>
      </c>
      <c r="AP1138" t="inlineStr">
        <is>
          <t>No</t>
        </is>
      </c>
      <c r="AQ1138" t="inlineStr">
        <is>
          <t>Yes</t>
        </is>
      </c>
      <c r="AR1138">
        <f>HYPERLINK("http://catalog.hathitrust.org/Record/000711045","HathiTrust Record")</f>
        <v/>
      </c>
      <c r="AS1138">
        <f>HYPERLINK("https://creighton-primo.hosted.exlibrisgroup.com/primo-explore/search?tab=default_tab&amp;search_scope=EVERYTHING&amp;vid=01CRU&amp;lang=en_US&amp;offset=0&amp;query=any,contains,991004791909702656","Catalog Record")</f>
        <v/>
      </c>
      <c r="AT1138">
        <f>HYPERLINK("http://www.worldcat.org/oclc/5171425","WorldCat Record")</f>
        <v/>
      </c>
      <c r="AU1138" t="inlineStr">
        <is>
          <t>836629153:eng</t>
        </is>
      </c>
      <c r="AV1138" t="inlineStr">
        <is>
          <t>5171425</t>
        </is>
      </c>
      <c r="AW1138" t="inlineStr">
        <is>
          <t>991004791909702656</t>
        </is>
      </c>
      <c r="AX1138" t="inlineStr">
        <is>
          <t>991004791909702656</t>
        </is>
      </c>
      <c r="AY1138" t="inlineStr">
        <is>
          <t>2259155780002656</t>
        </is>
      </c>
      <c r="AZ1138" t="inlineStr">
        <is>
          <t>BOOK</t>
        </is>
      </c>
      <c r="BB1138" t="inlineStr">
        <is>
          <t>9789027710222</t>
        </is>
      </c>
      <c r="BC1138" t="inlineStr">
        <is>
          <t>32285001517282</t>
        </is>
      </c>
      <c r="BD1138" t="inlineStr">
        <is>
          <t>893411951</t>
        </is>
      </c>
    </row>
    <row r="1139">
      <c r="A1139" t="inlineStr">
        <is>
          <t>No</t>
        </is>
      </c>
      <c r="B1139" t="inlineStr">
        <is>
          <t>QD502 .O83 1985</t>
        </is>
      </c>
      <c r="C1139" t="inlineStr">
        <is>
          <t>0                      QD 0502000O  83          1985</t>
        </is>
      </c>
      <c r="D1139" t="inlineStr">
        <is>
          <t>Oscillations and traveling waves in chemical systems / edited by Richard J. Field and Mária Burger.</t>
        </is>
      </c>
      <c r="F1139" t="inlineStr">
        <is>
          <t>No</t>
        </is>
      </c>
      <c r="G1139" t="inlineStr">
        <is>
          <t>1</t>
        </is>
      </c>
      <c r="H1139" t="inlineStr">
        <is>
          <t>No</t>
        </is>
      </c>
      <c r="I1139" t="inlineStr">
        <is>
          <t>No</t>
        </is>
      </c>
      <c r="J1139" t="inlineStr">
        <is>
          <t>0</t>
        </is>
      </c>
      <c r="L1139" t="inlineStr">
        <is>
          <t>New York : Wiley, 1985.</t>
        </is>
      </c>
      <c r="M1139" t="inlineStr">
        <is>
          <t>1985</t>
        </is>
      </c>
      <c r="O1139" t="inlineStr">
        <is>
          <t>eng</t>
        </is>
      </c>
      <c r="P1139" t="inlineStr">
        <is>
          <t>nyu</t>
        </is>
      </c>
      <c r="R1139" t="inlineStr">
        <is>
          <t xml:space="preserve">QD </t>
        </is>
      </c>
      <c r="S1139" t="n">
        <v>2</v>
      </c>
      <c r="T1139" t="n">
        <v>2</v>
      </c>
      <c r="U1139" t="inlineStr">
        <is>
          <t>2005-04-18</t>
        </is>
      </c>
      <c r="V1139" t="inlineStr">
        <is>
          <t>2005-04-18</t>
        </is>
      </c>
      <c r="W1139" t="inlineStr">
        <is>
          <t>1992-12-01</t>
        </is>
      </c>
      <c r="X1139" t="inlineStr">
        <is>
          <t>1992-12-01</t>
        </is>
      </c>
      <c r="Y1139" t="n">
        <v>340</v>
      </c>
      <c r="Z1139" t="n">
        <v>253</v>
      </c>
      <c r="AA1139" t="n">
        <v>254</v>
      </c>
      <c r="AB1139" t="n">
        <v>2</v>
      </c>
      <c r="AC1139" t="n">
        <v>2</v>
      </c>
      <c r="AD1139" t="n">
        <v>7</v>
      </c>
      <c r="AE1139" t="n">
        <v>7</v>
      </c>
      <c r="AF1139" t="n">
        <v>0</v>
      </c>
      <c r="AG1139" t="n">
        <v>0</v>
      </c>
      <c r="AH1139" t="n">
        <v>4</v>
      </c>
      <c r="AI1139" t="n">
        <v>4</v>
      </c>
      <c r="AJ1139" t="n">
        <v>4</v>
      </c>
      <c r="AK1139" t="n">
        <v>4</v>
      </c>
      <c r="AL1139" t="n">
        <v>1</v>
      </c>
      <c r="AM1139" t="n">
        <v>1</v>
      </c>
      <c r="AN1139" t="n">
        <v>0</v>
      </c>
      <c r="AO1139" t="n">
        <v>0</v>
      </c>
      <c r="AP1139" t="inlineStr">
        <is>
          <t>No</t>
        </is>
      </c>
      <c r="AQ1139" t="inlineStr">
        <is>
          <t>No</t>
        </is>
      </c>
      <c r="AS1139">
        <f>HYPERLINK("https://creighton-primo.hosted.exlibrisgroup.com/primo-explore/search?tab=default_tab&amp;search_scope=EVERYTHING&amp;vid=01CRU&amp;lang=en_US&amp;offset=0&amp;query=any,contains,991000475149702656","Catalog Record")</f>
        <v/>
      </c>
      <c r="AT1139">
        <f>HYPERLINK("http://www.worldcat.org/oclc/11029269","WorldCat Record")</f>
        <v/>
      </c>
      <c r="AU1139" t="inlineStr">
        <is>
          <t>355687832:eng</t>
        </is>
      </c>
      <c r="AV1139" t="inlineStr">
        <is>
          <t>11029269</t>
        </is>
      </c>
      <c r="AW1139" t="inlineStr">
        <is>
          <t>991000475149702656</t>
        </is>
      </c>
      <c r="AX1139" t="inlineStr">
        <is>
          <t>991000475149702656</t>
        </is>
      </c>
      <c r="AY1139" t="inlineStr">
        <is>
          <t>2266054630002656</t>
        </is>
      </c>
      <c r="AZ1139" t="inlineStr">
        <is>
          <t>BOOK</t>
        </is>
      </c>
      <c r="BB1139" t="inlineStr">
        <is>
          <t>9780471893844</t>
        </is>
      </c>
      <c r="BC1139" t="inlineStr">
        <is>
          <t>32285001410850</t>
        </is>
      </c>
      <c r="BD1139" t="inlineStr">
        <is>
          <t>893626321</t>
        </is>
      </c>
    </row>
    <row r="1140">
      <c r="A1140" t="inlineStr">
        <is>
          <t>No</t>
        </is>
      </c>
      <c r="B1140" t="inlineStr">
        <is>
          <t>QD502 .R44 2004</t>
        </is>
      </c>
      <c r="C1140" t="inlineStr">
        <is>
          <t>0                      QD 0502000R  44          2004</t>
        </is>
      </c>
      <c r="D1140" t="inlineStr">
        <is>
          <t>Reactive intermediate chemistry / edited by Robert A. Moss, Matthew S. Platz, Maitland Jones, Jr.</t>
        </is>
      </c>
      <c r="F1140" t="inlineStr">
        <is>
          <t>No</t>
        </is>
      </c>
      <c r="G1140" t="inlineStr">
        <is>
          <t>1</t>
        </is>
      </c>
      <c r="H1140" t="inlineStr">
        <is>
          <t>No</t>
        </is>
      </c>
      <c r="I1140" t="inlineStr">
        <is>
          <t>No</t>
        </is>
      </c>
      <c r="J1140" t="inlineStr">
        <is>
          <t>0</t>
        </is>
      </c>
      <c r="L1140" t="inlineStr">
        <is>
          <t>Hoboken, N.J. : Wiley-Interscience, c2004.</t>
        </is>
      </c>
      <c r="M1140" t="inlineStr">
        <is>
          <t>2004</t>
        </is>
      </c>
      <c r="O1140" t="inlineStr">
        <is>
          <t>eng</t>
        </is>
      </c>
      <c r="P1140" t="inlineStr">
        <is>
          <t>nju</t>
        </is>
      </c>
      <c r="R1140" t="inlineStr">
        <is>
          <t xml:space="preserve">QD </t>
        </is>
      </c>
      <c r="S1140" t="n">
        <v>1</v>
      </c>
      <c r="T1140" t="n">
        <v>1</v>
      </c>
      <c r="U1140" t="inlineStr">
        <is>
          <t>2004-12-06</t>
        </is>
      </c>
      <c r="V1140" t="inlineStr">
        <is>
          <t>2004-12-06</t>
        </is>
      </c>
      <c r="W1140" t="inlineStr">
        <is>
          <t>2004-12-06</t>
        </is>
      </c>
      <c r="X1140" t="inlineStr">
        <is>
          <t>2004-12-06</t>
        </is>
      </c>
      <c r="Y1140" t="n">
        <v>394</v>
      </c>
      <c r="Z1140" t="n">
        <v>281</v>
      </c>
      <c r="AA1140" t="n">
        <v>376</v>
      </c>
      <c r="AB1140" t="n">
        <v>4</v>
      </c>
      <c r="AC1140" t="n">
        <v>4</v>
      </c>
      <c r="AD1140" t="n">
        <v>17</v>
      </c>
      <c r="AE1140" t="n">
        <v>18</v>
      </c>
      <c r="AF1140" t="n">
        <v>4</v>
      </c>
      <c r="AG1140" t="n">
        <v>4</v>
      </c>
      <c r="AH1140" t="n">
        <v>3</v>
      </c>
      <c r="AI1140" t="n">
        <v>3</v>
      </c>
      <c r="AJ1140" t="n">
        <v>10</v>
      </c>
      <c r="AK1140" t="n">
        <v>11</v>
      </c>
      <c r="AL1140" t="n">
        <v>3</v>
      </c>
      <c r="AM1140" t="n">
        <v>3</v>
      </c>
      <c r="AN1140" t="n">
        <v>0</v>
      </c>
      <c r="AO1140" t="n">
        <v>0</v>
      </c>
      <c r="AP1140" t="inlineStr">
        <is>
          <t>No</t>
        </is>
      </c>
      <c r="AQ1140" t="inlineStr">
        <is>
          <t>No</t>
        </is>
      </c>
      <c r="AS1140">
        <f>HYPERLINK("https://creighton-primo.hosted.exlibrisgroup.com/primo-explore/search?tab=default_tab&amp;search_scope=EVERYTHING&amp;vid=01CRU&amp;lang=en_US&amp;offset=0&amp;query=any,contains,991004408439702656","Catalog Record")</f>
        <v/>
      </c>
      <c r="AT1140">
        <f>HYPERLINK("http://www.worldcat.org/oclc/53144593","WorldCat Record")</f>
        <v/>
      </c>
      <c r="AU1140" t="inlineStr">
        <is>
          <t>1019654447:eng</t>
        </is>
      </c>
      <c r="AV1140" t="inlineStr">
        <is>
          <t>53144593</t>
        </is>
      </c>
      <c r="AW1140" t="inlineStr">
        <is>
          <t>991004408439702656</t>
        </is>
      </c>
      <c r="AX1140" t="inlineStr">
        <is>
          <t>991004408439702656</t>
        </is>
      </c>
      <c r="AY1140" t="inlineStr">
        <is>
          <t>2267197590002656</t>
        </is>
      </c>
      <c r="AZ1140" t="inlineStr">
        <is>
          <t>BOOK</t>
        </is>
      </c>
      <c r="BB1140" t="inlineStr">
        <is>
          <t>9780471233244</t>
        </is>
      </c>
      <c r="BC1140" t="inlineStr">
        <is>
          <t>32285005015218</t>
        </is>
      </c>
      <c r="BD1140" t="inlineStr">
        <is>
          <t>893411499</t>
        </is>
      </c>
    </row>
    <row r="1141">
      <c r="A1141" t="inlineStr">
        <is>
          <t>No</t>
        </is>
      </c>
      <c r="B1141" t="inlineStr">
        <is>
          <t>QD502 .W75 2004</t>
        </is>
      </c>
      <c r="C1141" t="inlineStr">
        <is>
          <t>0                      QD 0502000W  75          2004</t>
        </is>
      </c>
      <c r="D1141" t="inlineStr">
        <is>
          <t>An introduction to chemical kinetics / Margaret Robson Wright.</t>
        </is>
      </c>
      <c r="F1141" t="inlineStr">
        <is>
          <t>No</t>
        </is>
      </c>
      <c r="G1141" t="inlineStr">
        <is>
          <t>1</t>
        </is>
      </c>
      <c r="H1141" t="inlineStr">
        <is>
          <t>No</t>
        </is>
      </c>
      <c r="I1141" t="inlineStr">
        <is>
          <t>No</t>
        </is>
      </c>
      <c r="J1141" t="inlineStr">
        <is>
          <t>0</t>
        </is>
      </c>
      <c r="K1141" t="inlineStr">
        <is>
          <t>Wright, Margaret Robson.</t>
        </is>
      </c>
      <c r="L1141" t="inlineStr">
        <is>
          <t>Chichester, West Sussex ; Hoboken, NJ : Wiley, c2004.</t>
        </is>
      </c>
      <c r="M1141" t="inlineStr">
        <is>
          <t>2004</t>
        </is>
      </c>
      <c r="O1141" t="inlineStr">
        <is>
          <t>eng</t>
        </is>
      </c>
      <c r="P1141" t="inlineStr">
        <is>
          <t>enk</t>
        </is>
      </c>
      <c r="R1141" t="inlineStr">
        <is>
          <t xml:space="preserve">QD </t>
        </is>
      </c>
      <c r="S1141" t="n">
        <v>2</v>
      </c>
      <c r="T1141" t="n">
        <v>2</v>
      </c>
      <c r="U1141" t="inlineStr">
        <is>
          <t>2005-03-15</t>
        </is>
      </c>
      <c r="V1141" t="inlineStr">
        <is>
          <t>2005-03-15</t>
        </is>
      </c>
      <c r="W1141" t="inlineStr">
        <is>
          <t>2005-03-15</t>
        </is>
      </c>
      <c r="X1141" t="inlineStr">
        <is>
          <t>2005-03-15</t>
        </is>
      </c>
      <c r="Y1141" t="n">
        <v>297</v>
      </c>
      <c r="Z1141" t="n">
        <v>181</v>
      </c>
      <c r="AA1141" t="n">
        <v>245</v>
      </c>
      <c r="AB1141" t="n">
        <v>2</v>
      </c>
      <c r="AC1141" t="n">
        <v>2</v>
      </c>
      <c r="AD1141" t="n">
        <v>8</v>
      </c>
      <c r="AE1141" t="n">
        <v>9</v>
      </c>
      <c r="AF1141" t="n">
        <v>2</v>
      </c>
      <c r="AG1141" t="n">
        <v>3</v>
      </c>
      <c r="AH1141" t="n">
        <v>3</v>
      </c>
      <c r="AI1141" t="n">
        <v>3</v>
      </c>
      <c r="AJ1141" t="n">
        <v>5</v>
      </c>
      <c r="AK1141" t="n">
        <v>6</v>
      </c>
      <c r="AL1141" t="n">
        <v>1</v>
      </c>
      <c r="AM1141" t="n">
        <v>1</v>
      </c>
      <c r="AN1141" t="n">
        <v>0</v>
      </c>
      <c r="AO1141" t="n">
        <v>0</v>
      </c>
      <c r="AP1141" t="inlineStr">
        <is>
          <t>No</t>
        </is>
      </c>
      <c r="AQ1141" t="inlineStr">
        <is>
          <t>No</t>
        </is>
      </c>
      <c r="AS1141">
        <f>HYPERLINK("https://creighton-primo.hosted.exlibrisgroup.com/primo-explore/search?tab=default_tab&amp;search_scope=EVERYTHING&amp;vid=01CRU&amp;lang=en_US&amp;offset=0&amp;query=any,contains,991004469409702656","Catalog Record")</f>
        <v/>
      </c>
      <c r="AT1141">
        <f>HYPERLINK("http://www.worldcat.org/oclc/54775011","WorldCat Record")</f>
        <v/>
      </c>
      <c r="AU1141" t="inlineStr">
        <is>
          <t>905902:eng</t>
        </is>
      </c>
      <c r="AV1141" t="inlineStr">
        <is>
          <t>54775011</t>
        </is>
      </c>
      <c r="AW1141" t="inlineStr">
        <is>
          <t>991004469409702656</t>
        </is>
      </c>
      <c r="AX1141" t="inlineStr">
        <is>
          <t>991004469409702656</t>
        </is>
      </c>
      <c r="AY1141" t="inlineStr">
        <is>
          <t>2254807080002656</t>
        </is>
      </c>
      <c r="AZ1141" t="inlineStr">
        <is>
          <t>BOOK</t>
        </is>
      </c>
      <c r="BB1141" t="inlineStr">
        <is>
          <t>9780470090589</t>
        </is>
      </c>
      <c r="BC1141" t="inlineStr">
        <is>
          <t>32285005040968</t>
        </is>
      </c>
      <c r="BD1141" t="inlineStr">
        <is>
          <t>893776044</t>
        </is>
      </c>
    </row>
    <row r="1142">
      <c r="A1142" t="inlineStr">
        <is>
          <t>No</t>
        </is>
      </c>
      <c r="B1142" t="inlineStr">
        <is>
          <t>QD502.5 .G66 2004</t>
        </is>
      </c>
      <c r="C1142" t="inlineStr">
        <is>
          <t>0                      QD 0502500G  66          2004</t>
        </is>
      </c>
      <c r="D1142" t="inlineStr">
        <is>
          <t>Organic reaction mechanisms : 40 solved cases / Mar Gómez Gallego, Miguel A. Sierra.</t>
        </is>
      </c>
      <c r="F1142" t="inlineStr">
        <is>
          <t>No</t>
        </is>
      </c>
      <c r="G1142" t="inlineStr">
        <is>
          <t>1</t>
        </is>
      </c>
      <c r="H1142" t="inlineStr">
        <is>
          <t>No</t>
        </is>
      </c>
      <c r="I1142" t="inlineStr">
        <is>
          <t>No</t>
        </is>
      </c>
      <c r="J1142" t="inlineStr">
        <is>
          <t>0</t>
        </is>
      </c>
      <c r="K1142" t="inlineStr">
        <is>
          <t>Gómez Gallego, Mar.</t>
        </is>
      </c>
      <c r="L1142" t="inlineStr">
        <is>
          <t>Berlin ; New York : Springer, c2004.</t>
        </is>
      </c>
      <c r="M1142" t="inlineStr">
        <is>
          <t>2004</t>
        </is>
      </c>
      <c r="O1142" t="inlineStr">
        <is>
          <t>eng</t>
        </is>
      </c>
      <c r="P1142" t="inlineStr">
        <is>
          <t xml:space="preserve">gw </t>
        </is>
      </c>
      <c r="R1142" t="inlineStr">
        <is>
          <t xml:space="preserve">QD </t>
        </is>
      </c>
      <c r="S1142" t="n">
        <v>2</v>
      </c>
      <c r="T1142" t="n">
        <v>2</v>
      </c>
      <c r="U1142" t="inlineStr">
        <is>
          <t>2005-04-25</t>
        </is>
      </c>
      <c r="V1142" t="inlineStr">
        <is>
          <t>2005-04-25</t>
        </is>
      </c>
      <c r="W1142" t="inlineStr">
        <is>
          <t>2005-01-06</t>
        </is>
      </c>
      <c r="X1142" t="inlineStr">
        <is>
          <t>2005-01-06</t>
        </is>
      </c>
      <c r="Y1142" t="n">
        <v>336</v>
      </c>
      <c r="Z1142" t="n">
        <v>242</v>
      </c>
      <c r="AA1142" t="n">
        <v>270</v>
      </c>
      <c r="AB1142" t="n">
        <v>4</v>
      </c>
      <c r="AC1142" t="n">
        <v>4</v>
      </c>
      <c r="AD1142" t="n">
        <v>12</v>
      </c>
      <c r="AE1142" t="n">
        <v>14</v>
      </c>
      <c r="AF1142" t="n">
        <v>5</v>
      </c>
      <c r="AG1142" t="n">
        <v>6</v>
      </c>
      <c r="AH1142" t="n">
        <v>2</v>
      </c>
      <c r="AI1142" t="n">
        <v>2</v>
      </c>
      <c r="AJ1142" t="n">
        <v>6</v>
      </c>
      <c r="AK1142" t="n">
        <v>8</v>
      </c>
      <c r="AL1142" t="n">
        <v>3</v>
      </c>
      <c r="AM1142" t="n">
        <v>3</v>
      </c>
      <c r="AN1142" t="n">
        <v>0</v>
      </c>
      <c r="AO1142" t="n">
        <v>0</v>
      </c>
      <c r="AP1142" t="inlineStr">
        <is>
          <t>No</t>
        </is>
      </c>
      <c r="AQ1142" t="inlineStr">
        <is>
          <t>No</t>
        </is>
      </c>
      <c r="AS1142">
        <f>HYPERLINK("https://creighton-primo.hosted.exlibrisgroup.com/primo-explore/search?tab=default_tab&amp;search_scope=EVERYTHING&amp;vid=01CRU&amp;lang=en_US&amp;offset=0&amp;query=any,contains,991004408559702656","Catalog Record")</f>
        <v/>
      </c>
      <c r="AT1142">
        <f>HYPERLINK("http://www.worldcat.org/oclc/53276603","WorldCat Record")</f>
        <v/>
      </c>
      <c r="AU1142" t="inlineStr">
        <is>
          <t>890587824:eng</t>
        </is>
      </c>
      <c r="AV1142" t="inlineStr">
        <is>
          <t>53276603</t>
        </is>
      </c>
      <c r="AW1142" t="inlineStr">
        <is>
          <t>991004408559702656</t>
        </is>
      </c>
      <c r="AX1142" t="inlineStr">
        <is>
          <t>991004408559702656</t>
        </is>
      </c>
      <c r="AY1142" t="inlineStr">
        <is>
          <t>2256328860002656</t>
        </is>
      </c>
      <c r="AZ1142" t="inlineStr">
        <is>
          <t>BOOK</t>
        </is>
      </c>
      <c r="BB1142" t="inlineStr">
        <is>
          <t>9783540003526</t>
        </is>
      </c>
      <c r="BC1142" t="inlineStr">
        <is>
          <t>32285005019020</t>
        </is>
      </c>
      <c r="BD1142" t="inlineStr">
        <is>
          <t>893337694</t>
        </is>
      </c>
    </row>
    <row r="1143">
      <c r="A1143" t="inlineStr">
        <is>
          <t>No</t>
        </is>
      </c>
      <c r="B1143" t="inlineStr">
        <is>
          <t>QD502.5 .G76 2003</t>
        </is>
      </c>
      <c r="C1143" t="inlineStr">
        <is>
          <t>0                      QD 0502500G  76          2003</t>
        </is>
      </c>
      <c r="D1143" t="inlineStr">
        <is>
          <t>The art of writing reasonable organic reaction mechanisms / Robert B. Grossman.</t>
        </is>
      </c>
      <c r="F1143" t="inlineStr">
        <is>
          <t>No</t>
        </is>
      </c>
      <c r="G1143" t="inlineStr">
        <is>
          <t>1</t>
        </is>
      </c>
      <c r="H1143" t="inlineStr">
        <is>
          <t>No</t>
        </is>
      </c>
      <c r="I1143" t="inlineStr">
        <is>
          <t>No</t>
        </is>
      </c>
      <c r="J1143" t="inlineStr">
        <is>
          <t>0</t>
        </is>
      </c>
      <c r="K1143" t="inlineStr">
        <is>
          <t>Grossman, Robert B., 1964-</t>
        </is>
      </c>
      <c r="L1143" t="inlineStr">
        <is>
          <t>New York : Springer, c2003.</t>
        </is>
      </c>
      <c r="M1143" t="inlineStr">
        <is>
          <t>2003</t>
        </is>
      </c>
      <c r="N1143" t="inlineStr">
        <is>
          <t>2nd ed.</t>
        </is>
      </c>
      <c r="O1143" t="inlineStr">
        <is>
          <t>eng</t>
        </is>
      </c>
      <c r="P1143" t="inlineStr">
        <is>
          <t>nyu</t>
        </is>
      </c>
      <c r="R1143" t="inlineStr">
        <is>
          <t xml:space="preserve">QD </t>
        </is>
      </c>
      <c r="S1143" t="n">
        <v>1</v>
      </c>
      <c r="T1143" t="n">
        <v>1</v>
      </c>
      <c r="U1143" t="inlineStr">
        <is>
          <t>2003-03-19</t>
        </is>
      </c>
      <c r="V1143" t="inlineStr">
        <is>
          <t>2003-03-19</t>
        </is>
      </c>
      <c r="W1143" t="inlineStr">
        <is>
          <t>2003-03-19</t>
        </is>
      </c>
      <c r="X1143" t="inlineStr">
        <is>
          <t>2003-03-19</t>
        </is>
      </c>
      <c r="Y1143" t="n">
        <v>480</v>
      </c>
      <c r="Z1143" t="n">
        <v>379</v>
      </c>
      <c r="AA1143" t="n">
        <v>912</v>
      </c>
      <c r="AB1143" t="n">
        <v>4</v>
      </c>
      <c r="AC1143" t="n">
        <v>34</v>
      </c>
      <c r="AD1143" t="n">
        <v>21</v>
      </c>
      <c r="AE1143" t="n">
        <v>47</v>
      </c>
      <c r="AF1143" t="n">
        <v>6</v>
      </c>
      <c r="AG1143" t="n">
        <v>15</v>
      </c>
      <c r="AH1143" t="n">
        <v>7</v>
      </c>
      <c r="AI1143" t="n">
        <v>9</v>
      </c>
      <c r="AJ1143" t="n">
        <v>10</v>
      </c>
      <c r="AK1143" t="n">
        <v>16</v>
      </c>
      <c r="AL1143" t="n">
        <v>3</v>
      </c>
      <c r="AM1143" t="n">
        <v>15</v>
      </c>
      <c r="AN1143" t="n">
        <v>0</v>
      </c>
      <c r="AO1143" t="n">
        <v>0</v>
      </c>
      <c r="AP1143" t="inlineStr">
        <is>
          <t>No</t>
        </is>
      </c>
      <c r="AQ1143" t="inlineStr">
        <is>
          <t>No</t>
        </is>
      </c>
      <c r="AS1143">
        <f>HYPERLINK("https://creighton-primo.hosted.exlibrisgroup.com/primo-explore/search?tab=default_tab&amp;search_scope=EVERYTHING&amp;vid=01CRU&amp;lang=en_US&amp;offset=0&amp;query=any,contains,991003999099702656","Catalog Record")</f>
        <v/>
      </c>
      <c r="AT1143">
        <f>HYPERLINK("http://www.worldcat.org/oclc/49285618","WorldCat Record")</f>
        <v/>
      </c>
      <c r="AU1143" t="inlineStr">
        <is>
          <t>1010174:eng</t>
        </is>
      </c>
      <c r="AV1143" t="inlineStr">
        <is>
          <t>49285618</t>
        </is>
      </c>
      <c r="AW1143" t="inlineStr">
        <is>
          <t>991003999099702656</t>
        </is>
      </c>
      <c r="AX1143" t="inlineStr">
        <is>
          <t>991003999099702656</t>
        </is>
      </c>
      <c r="AY1143" t="inlineStr">
        <is>
          <t>2256497410002656</t>
        </is>
      </c>
      <c r="AZ1143" t="inlineStr">
        <is>
          <t>BOOK</t>
        </is>
      </c>
      <c r="BB1143" t="inlineStr">
        <is>
          <t>9780387954684</t>
        </is>
      </c>
      <c r="BC1143" t="inlineStr">
        <is>
          <t>32285004685250</t>
        </is>
      </c>
      <c r="BD1143" t="inlineStr">
        <is>
          <t>893417102</t>
        </is>
      </c>
    </row>
    <row r="1144">
      <c r="A1144" t="inlineStr">
        <is>
          <t>No</t>
        </is>
      </c>
      <c r="B1144" t="inlineStr">
        <is>
          <t>QD503 .M37</t>
        </is>
      </c>
      <c r="C1144" t="inlineStr">
        <is>
          <t>0                      QD 0503000M  37</t>
        </is>
      </c>
      <c r="D1144" t="inlineStr">
        <is>
          <t>Critical stability constants, by Arthur E. Martell and Robert M. Smith.</t>
        </is>
      </c>
      <c r="E1144" t="inlineStr">
        <is>
          <t>V.4</t>
        </is>
      </c>
      <c r="F1144" t="inlineStr">
        <is>
          <t>Yes</t>
        </is>
      </c>
      <c r="G1144" t="inlineStr">
        <is>
          <t>1</t>
        </is>
      </c>
      <c r="H1144" t="inlineStr">
        <is>
          <t>No</t>
        </is>
      </c>
      <c r="I1144" t="inlineStr">
        <is>
          <t>No</t>
        </is>
      </c>
      <c r="J1144" t="inlineStr">
        <is>
          <t>0</t>
        </is>
      </c>
      <c r="K1144" t="inlineStr">
        <is>
          <t>Martell, Arthur E. (Arthur Earl), 1916-2003.</t>
        </is>
      </c>
      <c r="L1144" t="inlineStr">
        <is>
          <t>New York, Plenum Press [1974-77]</t>
        </is>
      </c>
      <c r="M1144" t="inlineStr">
        <is>
          <t>1974</t>
        </is>
      </c>
      <c r="O1144" t="inlineStr">
        <is>
          <t>eng</t>
        </is>
      </c>
      <c r="P1144" t="inlineStr">
        <is>
          <t>nyu</t>
        </is>
      </c>
      <c r="R1144" t="inlineStr">
        <is>
          <t xml:space="preserve">QD </t>
        </is>
      </c>
      <c r="S1144" t="n">
        <v>3</v>
      </c>
      <c r="T1144" t="n">
        <v>11</v>
      </c>
      <c r="V1144" t="inlineStr">
        <is>
          <t>1996-08-14</t>
        </is>
      </c>
      <c r="W1144" t="inlineStr">
        <is>
          <t>1991-07-15</t>
        </is>
      </c>
      <c r="X1144" t="inlineStr">
        <is>
          <t>1991-07-15</t>
        </is>
      </c>
      <c r="Y1144" t="n">
        <v>527</v>
      </c>
      <c r="Z1144" t="n">
        <v>406</v>
      </c>
      <c r="AA1144" t="n">
        <v>408</v>
      </c>
      <c r="AB1144" t="n">
        <v>3</v>
      </c>
      <c r="AC1144" t="n">
        <v>3</v>
      </c>
      <c r="AD1144" t="n">
        <v>13</v>
      </c>
      <c r="AE1144" t="n">
        <v>13</v>
      </c>
      <c r="AF1144" t="n">
        <v>2</v>
      </c>
      <c r="AG1144" t="n">
        <v>2</v>
      </c>
      <c r="AH1144" t="n">
        <v>5</v>
      </c>
      <c r="AI1144" t="n">
        <v>5</v>
      </c>
      <c r="AJ1144" t="n">
        <v>7</v>
      </c>
      <c r="AK1144" t="n">
        <v>7</v>
      </c>
      <c r="AL1144" t="n">
        <v>2</v>
      </c>
      <c r="AM1144" t="n">
        <v>2</v>
      </c>
      <c r="AN1144" t="n">
        <v>0</v>
      </c>
      <c r="AO1144" t="n">
        <v>0</v>
      </c>
      <c r="AP1144" t="inlineStr">
        <is>
          <t>No</t>
        </is>
      </c>
      <c r="AQ1144" t="inlineStr">
        <is>
          <t>Yes</t>
        </is>
      </c>
      <c r="AR1144">
        <f>HYPERLINK("http://catalog.hathitrust.org/Record/000240195","HathiTrust Record")</f>
        <v/>
      </c>
      <c r="AS1144">
        <f>HYPERLINK("https://creighton-primo.hosted.exlibrisgroup.com/primo-explore/search?tab=default_tab&amp;search_scope=EVERYTHING&amp;vid=01CRU&amp;lang=en_US&amp;offset=0&amp;query=any,contains,991004389249702656","Catalog Record")</f>
        <v/>
      </c>
      <c r="AT1144">
        <f>HYPERLINK("http://www.worldcat.org/oclc/940635","WorldCat Record")</f>
        <v/>
      </c>
      <c r="AU1144" t="inlineStr">
        <is>
          <t>5219082377:eng</t>
        </is>
      </c>
      <c r="AV1144" t="inlineStr">
        <is>
          <t>940635</t>
        </is>
      </c>
      <c r="AW1144" t="inlineStr">
        <is>
          <t>991004389249702656</t>
        </is>
      </c>
      <c r="AX1144" t="inlineStr">
        <is>
          <t>991004389249702656</t>
        </is>
      </c>
      <c r="AY1144" t="inlineStr">
        <is>
          <t>2272340470002656</t>
        </is>
      </c>
      <c r="AZ1144" t="inlineStr">
        <is>
          <t>BOOK</t>
        </is>
      </c>
      <c r="BB1144" t="inlineStr">
        <is>
          <t>9780306352119</t>
        </is>
      </c>
      <c r="BC1144" t="inlineStr">
        <is>
          <t>32285000639384</t>
        </is>
      </c>
      <c r="BD1144" t="inlineStr">
        <is>
          <t>893894932</t>
        </is>
      </c>
    </row>
    <row r="1145">
      <c r="A1145" t="inlineStr">
        <is>
          <t>No</t>
        </is>
      </c>
      <c r="B1145" t="inlineStr">
        <is>
          <t>QD503 .M37</t>
        </is>
      </c>
      <c r="C1145" t="inlineStr">
        <is>
          <t>0                      QD 0503000M  37</t>
        </is>
      </c>
      <c r="D1145" t="inlineStr">
        <is>
          <t>Critical stability constants, by Arthur E. Martell and Robert M. Smith.</t>
        </is>
      </c>
      <c r="E1145" t="inlineStr">
        <is>
          <t>V.5</t>
        </is>
      </c>
      <c r="F1145" t="inlineStr">
        <is>
          <t>Yes</t>
        </is>
      </c>
      <c r="G1145" t="inlineStr">
        <is>
          <t>1</t>
        </is>
      </c>
      <c r="H1145" t="inlineStr">
        <is>
          <t>No</t>
        </is>
      </c>
      <c r="I1145" t="inlineStr">
        <is>
          <t>No</t>
        </is>
      </c>
      <c r="J1145" t="inlineStr">
        <is>
          <t>0</t>
        </is>
      </c>
      <c r="K1145" t="inlineStr">
        <is>
          <t>Martell, Arthur E. (Arthur Earl), 1916-2003.</t>
        </is>
      </c>
      <c r="L1145" t="inlineStr">
        <is>
          <t>New York, Plenum Press [1974-77]</t>
        </is>
      </c>
      <c r="M1145" t="inlineStr">
        <is>
          <t>1974</t>
        </is>
      </c>
      <c r="O1145" t="inlineStr">
        <is>
          <t>eng</t>
        </is>
      </c>
      <c r="P1145" t="inlineStr">
        <is>
          <t>nyu</t>
        </is>
      </c>
      <c r="R1145" t="inlineStr">
        <is>
          <t xml:space="preserve">QD </t>
        </is>
      </c>
      <c r="S1145" t="n">
        <v>1</v>
      </c>
      <c r="T1145" t="n">
        <v>11</v>
      </c>
      <c r="V1145" t="inlineStr">
        <is>
          <t>1996-08-14</t>
        </is>
      </c>
      <c r="W1145" t="inlineStr">
        <is>
          <t>1991-07-15</t>
        </is>
      </c>
      <c r="X1145" t="inlineStr">
        <is>
          <t>1991-07-15</t>
        </is>
      </c>
      <c r="Y1145" t="n">
        <v>527</v>
      </c>
      <c r="Z1145" t="n">
        <v>406</v>
      </c>
      <c r="AA1145" t="n">
        <v>408</v>
      </c>
      <c r="AB1145" t="n">
        <v>3</v>
      </c>
      <c r="AC1145" t="n">
        <v>3</v>
      </c>
      <c r="AD1145" t="n">
        <v>13</v>
      </c>
      <c r="AE1145" t="n">
        <v>13</v>
      </c>
      <c r="AF1145" t="n">
        <v>2</v>
      </c>
      <c r="AG1145" t="n">
        <v>2</v>
      </c>
      <c r="AH1145" t="n">
        <v>5</v>
      </c>
      <c r="AI1145" t="n">
        <v>5</v>
      </c>
      <c r="AJ1145" t="n">
        <v>7</v>
      </c>
      <c r="AK1145" t="n">
        <v>7</v>
      </c>
      <c r="AL1145" t="n">
        <v>2</v>
      </c>
      <c r="AM1145" t="n">
        <v>2</v>
      </c>
      <c r="AN1145" t="n">
        <v>0</v>
      </c>
      <c r="AO1145" t="n">
        <v>0</v>
      </c>
      <c r="AP1145" t="inlineStr">
        <is>
          <t>No</t>
        </is>
      </c>
      <c r="AQ1145" t="inlineStr">
        <is>
          <t>Yes</t>
        </is>
      </c>
      <c r="AR1145">
        <f>HYPERLINK("http://catalog.hathitrust.org/Record/000240195","HathiTrust Record")</f>
        <v/>
      </c>
      <c r="AS1145">
        <f>HYPERLINK("https://creighton-primo.hosted.exlibrisgroup.com/primo-explore/search?tab=default_tab&amp;search_scope=EVERYTHING&amp;vid=01CRU&amp;lang=en_US&amp;offset=0&amp;query=any,contains,991004389249702656","Catalog Record")</f>
        <v/>
      </c>
      <c r="AT1145">
        <f>HYPERLINK("http://www.worldcat.org/oclc/940635","WorldCat Record")</f>
        <v/>
      </c>
      <c r="AU1145" t="inlineStr">
        <is>
          <t>5219082377:eng</t>
        </is>
      </c>
      <c r="AV1145" t="inlineStr">
        <is>
          <t>940635</t>
        </is>
      </c>
      <c r="AW1145" t="inlineStr">
        <is>
          <t>991004389249702656</t>
        </is>
      </c>
      <c r="AX1145" t="inlineStr">
        <is>
          <t>991004389249702656</t>
        </is>
      </c>
      <c r="AY1145" t="inlineStr">
        <is>
          <t>2272340470002656</t>
        </is>
      </c>
      <c r="AZ1145" t="inlineStr">
        <is>
          <t>BOOK</t>
        </is>
      </c>
      <c r="BB1145" t="inlineStr">
        <is>
          <t>9780306352119</t>
        </is>
      </c>
      <c r="BC1145" t="inlineStr">
        <is>
          <t>32285000639392</t>
        </is>
      </c>
      <c r="BD1145" t="inlineStr">
        <is>
          <t>893894931</t>
        </is>
      </c>
    </row>
    <row r="1146">
      <c r="A1146" t="inlineStr">
        <is>
          <t>No</t>
        </is>
      </c>
      <c r="B1146" t="inlineStr">
        <is>
          <t>QD503 .M37</t>
        </is>
      </c>
      <c r="C1146" t="inlineStr">
        <is>
          <t>0                      QD 0503000M  37</t>
        </is>
      </c>
      <c r="D1146" t="inlineStr">
        <is>
          <t>Critical stability constants, by Arthur E. Martell and Robert M. Smith.</t>
        </is>
      </c>
      <c r="E1146" t="inlineStr">
        <is>
          <t>V.3</t>
        </is>
      </c>
      <c r="F1146" t="inlineStr">
        <is>
          <t>Yes</t>
        </is>
      </c>
      <c r="G1146" t="inlineStr">
        <is>
          <t>1</t>
        </is>
      </c>
      <c r="H1146" t="inlineStr">
        <is>
          <t>No</t>
        </is>
      </c>
      <c r="I1146" t="inlineStr">
        <is>
          <t>No</t>
        </is>
      </c>
      <c r="J1146" t="inlineStr">
        <is>
          <t>0</t>
        </is>
      </c>
      <c r="K1146" t="inlineStr">
        <is>
          <t>Martell, Arthur E. (Arthur Earl), 1916-2003.</t>
        </is>
      </c>
      <c r="L1146" t="inlineStr">
        <is>
          <t>New York, Plenum Press [1974-77]</t>
        </is>
      </c>
      <c r="M1146" t="inlineStr">
        <is>
          <t>1974</t>
        </is>
      </c>
      <c r="O1146" t="inlineStr">
        <is>
          <t>eng</t>
        </is>
      </c>
      <c r="P1146" t="inlineStr">
        <is>
          <t>nyu</t>
        </is>
      </c>
      <c r="R1146" t="inlineStr">
        <is>
          <t xml:space="preserve">QD </t>
        </is>
      </c>
      <c r="S1146" t="n">
        <v>3</v>
      </c>
      <c r="T1146" t="n">
        <v>11</v>
      </c>
      <c r="V1146" t="inlineStr">
        <is>
          <t>1996-08-14</t>
        </is>
      </c>
      <c r="W1146" t="inlineStr">
        <is>
          <t>1991-07-15</t>
        </is>
      </c>
      <c r="X1146" t="inlineStr">
        <is>
          <t>1991-07-15</t>
        </is>
      </c>
      <c r="Y1146" t="n">
        <v>527</v>
      </c>
      <c r="Z1146" t="n">
        <v>406</v>
      </c>
      <c r="AA1146" t="n">
        <v>408</v>
      </c>
      <c r="AB1146" t="n">
        <v>3</v>
      </c>
      <c r="AC1146" t="n">
        <v>3</v>
      </c>
      <c r="AD1146" t="n">
        <v>13</v>
      </c>
      <c r="AE1146" t="n">
        <v>13</v>
      </c>
      <c r="AF1146" t="n">
        <v>2</v>
      </c>
      <c r="AG1146" t="n">
        <v>2</v>
      </c>
      <c r="AH1146" t="n">
        <v>5</v>
      </c>
      <c r="AI1146" t="n">
        <v>5</v>
      </c>
      <c r="AJ1146" t="n">
        <v>7</v>
      </c>
      <c r="AK1146" t="n">
        <v>7</v>
      </c>
      <c r="AL1146" t="n">
        <v>2</v>
      </c>
      <c r="AM1146" t="n">
        <v>2</v>
      </c>
      <c r="AN1146" t="n">
        <v>0</v>
      </c>
      <c r="AO1146" t="n">
        <v>0</v>
      </c>
      <c r="AP1146" t="inlineStr">
        <is>
          <t>No</t>
        </is>
      </c>
      <c r="AQ1146" t="inlineStr">
        <is>
          <t>Yes</t>
        </is>
      </c>
      <c r="AR1146">
        <f>HYPERLINK("http://catalog.hathitrust.org/Record/000240195","HathiTrust Record")</f>
        <v/>
      </c>
      <c r="AS1146">
        <f>HYPERLINK("https://creighton-primo.hosted.exlibrisgroup.com/primo-explore/search?tab=default_tab&amp;search_scope=EVERYTHING&amp;vid=01CRU&amp;lang=en_US&amp;offset=0&amp;query=any,contains,991004389249702656","Catalog Record")</f>
        <v/>
      </c>
      <c r="AT1146">
        <f>HYPERLINK("http://www.worldcat.org/oclc/940635","WorldCat Record")</f>
        <v/>
      </c>
      <c r="AU1146" t="inlineStr">
        <is>
          <t>5219082377:eng</t>
        </is>
      </c>
      <c r="AV1146" t="inlineStr">
        <is>
          <t>940635</t>
        </is>
      </c>
      <c r="AW1146" t="inlineStr">
        <is>
          <t>991004389249702656</t>
        </is>
      </c>
      <c r="AX1146" t="inlineStr">
        <is>
          <t>991004389249702656</t>
        </is>
      </c>
      <c r="AY1146" t="inlineStr">
        <is>
          <t>2272340470002656</t>
        </is>
      </c>
      <c r="AZ1146" t="inlineStr">
        <is>
          <t>BOOK</t>
        </is>
      </c>
      <c r="BB1146" t="inlineStr">
        <is>
          <t>9780306352119</t>
        </is>
      </c>
      <c r="BC1146" t="inlineStr">
        <is>
          <t>32285000639376</t>
        </is>
      </c>
      <c r="BD1146" t="inlineStr">
        <is>
          <t>893894930</t>
        </is>
      </c>
    </row>
    <row r="1147">
      <c r="A1147" t="inlineStr">
        <is>
          <t>No</t>
        </is>
      </c>
      <c r="B1147" t="inlineStr">
        <is>
          <t>QD503 .M37</t>
        </is>
      </c>
      <c r="C1147" t="inlineStr">
        <is>
          <t>0                      QD 0503000M  37</t>
        </is>
      </c>
      <c r="D1147" t="inlineStr">
        <is>
          <t>Critical stability constants, by Arthur E. Martell and Robert M. Smith.</t>
        </is>
      </c>
      <c r="E1147" t="inlineStr">
        <is>
          <t>V.2</t>
        </is>
      </c>
      <c r="F1147" t="inlineStr">
        <is>
          <t>Yes</t>
        </is>
      </c>
      <c r="G1147" t="inlineStr">
        <is>
          <t>1</t>
        </is>
      </c>
      <c r="H1147" t="inlineStr">
        <is>
          <t>No</t>
        </is>
      </c>
      <c r="I1147" t="inlineStr">
        <is>
          <t>No</t>
        </is>
      </c>
      <c r="J1147" t="inlineStr">
        <is>
          <t>0</t>
        </is>
      </c>
      <c r="K1147" t="inlineStr">
        <is>
          <t>Martell, Arthur E. (Arthur Earl), 1916-2003.</t>
        </is>
      </c>
      <c r="L1147" t="inlineStr">
        <is>
          <t>New York, Plenum Press [1974-77]</t>
        </is>
      </c>
      <c r="M1147" t="inlineStr">
        <is>
          <t>1974</t>
        </is>
      </c>
      <c r="O1147" t="inlineStr">
        <is>
          <t>eng</t>
        </is>
      </c>
      <c r="P1147" t="inlineStr">
        <is>
          <t>nyu</t>
        </is>
      </c>
      <c r="R1147" t="inlineStr">
        <is>
          <t xml:space="preserve">QD </t>
        </is>
      </c>
      <c r="S1147" t="n">
        <v>1</v>
      </c>
      <c r="T1147" t="n">
        <v>11</v>
      </c>
      <c r="V1147" t="inlineStr">
        <is>
          <t>1996-08-14</t>
        </is>
      </c>
      <c r="W1147" t="inlineStr">
        <is>
          <t>1991-07-15</t>
        </is>
      </c>
      <c r="X1147" t="inlineStr">
        <is>
          <t>1991-07-15</t>
        </is>
      </c>
      <c r="Y1147" t="n">
        <v>527</v>
      </c>
      <c r="Z1147" t="n">
        <v>406</v>
      </c>
      <c r="AA1147" t="n">
        <v>408</v>
      </c>
      <c r="AB1147" t="n">
        <v>3</v>
      </c>
      <c r="AC1147" t="n">
        <v>3</v>
      </c>
      <c r="AD1147" t="n">
        <v>13</v>
      </c>
      <c r="AE1147" t="n">
        <v>13</v>
      </c>
      <c r="AF1147" t="n">
        <v>2</v>
      </c>
      <c r="AG1147" t="n">
        <v>2</v>
      </c>
      <c r="AH1147" t="n">
        <v>5</v>
      </c>
      <c r="AI1147" t="n">
        <v>5</v>
      </c>
      <c r="AJ1147" t="n">
        <v>7</v>
      </c>
      <c r="AK1147" t="n">
        <v>7</v>
      </c>
      <c r="AL1147" t="n">
        <v>2</v>
      </c>
      <c r="AM1147" t="n">
        <v>2</v>
      </c>
      <c r="AN1147" t="n">
        <v>0</v>
      </c>
      <c r="AO1147" t="n">
        <v>0</v>
      </c>
      <c r="AP1147" t="inlineStr">
        <is>
          <t>No</t>
        </is>
      </c>
      <c r="AQ1147" t="inlineStr">
        <is>
          <t>Yes</t>
        </is>
      </c>
      <c r="AR1147">
        <f>HYPERLINK("http://catalog.hathitrust.org/Record/000240195","HathiTrust Record")</f>
        <v/>
      </c>
      <c r="AS1147">
        <f>HYPERLINK("https://creighton-primo.hosted.exlibrisgroup.com/primo-explore/search?tab=default_tab&amp;search_scope=EVERYTHING&amp;vid=01CRU&amp;lang=en_US&amp;offset=0&amp;query=any,contains,991004389249702656","Catalog Record")</f>
        <v/>
      </c>
      <c r="AT1147">
        <f>HYPERLINK("http://www.worldcat.org/oclc/940635","WorldCat Record")</f>
        <v/>
      </c>
      <c r="AU1147" t="inlineStr">
        <is>
          <t>5219082377:eng</t>
        </is>
      </c>
      <c r="AV1147" t="inlineStr">
        <is>
          <t>940635</t>
        </is>
      </c>
      <c r="AW1147" t="inlineStr">
        <is>
          <t>991004389249702656</t>
        </is>
      </c>
      <c r="AX1147" t="inlineStr">
        <is>
          <t>991004389249702656</t>
        </is>
      </c>
      <c r="AY1147" t="inlineStr">
        <is>
          <t>2272340470002656</t>
        </is>
      </c>
      <c r="AZ1147" t="inlineStr">
        <is>
          <t>BOOK</t>
        </is>
      </c>
      <c r="BB1147" t="inlineStr">
        <is>
          <t>9780306352119</t>
        </is>
      </c>
      <c r="BC1147" t="inlineStr">
        <is>
          <t>32285000639368</t>
        </is>
      </c>
      <c r="BD1147" t="inlineStr">
        <is>
          <t>893876043</t>
        </is>
      </c>
    </row>
    <row r="1148">
      <c r="A1148" t="inlineStr">
        <is>
          <t>No</t>
        </is>
      </c>
      <c r="B1148" t="inlineStr">
        <is>
          <t>QD503 .M37</t>
        </is>
      </c>
      <c r="C1148" t="inlineStr">
        <is>
          <t>0                      QD 0503000M  37</t>
        </is>
      </c>
      <c r="D1148" t="inlineStr">
        <is>
          <t>Critical stability constants, by Arthur E. Martell and Robert M. Smith.</t>
        </is>
      </c>
      <c r="E1148" t="inlineStr">
        <is>
          <t>V.1</t>
        </is>
      </c>
      <c r="F1148" t="inlineStr">
        <is>
          <t>Yes</t>
        </is>
      </c>
      <c r="G1148" t="inlineStr">
        <is>
          <t>1</t>
        </is>
      </c>
      <c r="H1148" t="inlineStr">
        <is>
          <t>No</t>
        </is>
      </c>
      <c r="I1148" t="inlineStr">
        <is>
          <t>No</t>
        </is>
      </c>
      <c r="J1148" t="inlineStr">
        <is>
          <t>0</t>
        </is>
      </c>
      <c r="K1148" t="inlineStr">
        <is>
          <t>Martell, Arthur E. (Arthur Earl), 1916-2003.</t>
        </is>
      </c>
      <c r="L1148" t="inlineStr">
        <is>
          <t>New York, Plenum Press [1974-77]</t>
        </is>
      </c>
      <c r="M1148" t="inlineStr">
        <is>
          <t>1974</t>
        </is>
      </c>
      <c r="O1148" t="inlineStr">
        <is>
          <t>eng</t>
        </is>
      </c>
      <c r="P1148" t="inlineStr">
        <is>
          <t>nyu</t>
        </is>
      </c>
      <c r="R1148" t="inlineStr">
        <is>
          <t xml:space="preserve">QD </t>
        </is>
      </c>
      <c r="S1148" t="n">
        <v>3</v>
      </c>
      <c r="T1148" t="n">
        <v>11</v>
      </c>
      <c r="U1148" t="inlineStr">
        <is>
          <t>1996-08-14</t>
        </is>
      </c>
      <c r="V1148" t="inlineStr">
        <is>
          <t>1996-08-14</t>
        </is>
      </c>
      <c r="W1148" t="inlineStr">
        <is>
          <t>1991-07-15</t>
        </is>
      </c>
      <c r="X1148" t="inlineStr">
        <is>
          <t>1991-07-15</t>
        </is>
      </c>
      <c r="Y1148" t="n">
        <v>527</v>
      </c>
      <c r="Z1148" t="n">
        <v>406</v>
      </c>
      <c r="AA1148" t="n">
        <v>408</v>
      </c>
      <c r="AB1148" t="n">
        <v>3</v>
      </c>
      <c r="AC1148" t="n">
        <v>3</v>
      </c>
      <c r="AD1148" t="n">
        <v>13</v>
      </c>
      <c r="AE1148" t="n">
        <v>13</v>
      </c>
      <c r="AF1148" t="n">
        <v>2</v>
      </c>
      <c r="AG1148" t="n">
        <v>2</v>
      </c>
      <c r="AH1148" t="n">
        <v>5</v>
      </c>
      <c r="AI1148" t="n">
        <v>5</v>
      </c>
      <c r="AJ1148" t="n">
        <v>7</v>
      </c>
      <c r="AK1148" t="n">
        <v>7</v>
      </c>
      <c r="AL1148" t="n">
        <v>2</v>
      </c>
      <c r="AM1148" t="n">
        <v>2</v>
      </c>
      <c r="AN1148" t="n">
        <v>0</v>
      </c>
      <c r="AO1148" t="n">
        <v>0</v>
      </c>
      <c r="AP1148" t="inlineStr">
        <is>
          <t>No</t>
        </is>
      </c>
      <c r="AQ1148" t="inlineStr">
        <is>
          <t>Yes</t>
        </is>
      </c>
      <c r="AR1148">
        <f>HYPERLINK("http://catalog.hathitrust.org/Record/000240195","HathiTrust Record")</f>
        <v/>
      </c>
      <c r="AS1148">
        <f>HYPERLINK("https://creighton-primo.hosted.exlibrisgroup.com/primo-explore/search?tab=default_tab&amp;search_scope=EVERYTHING&amp;vid=01CRU&amp;lang=en_US&amp;offset=0&amp;query=any,contains,991004389249702656","Catalog Record")</f>
        <v/>
      </c>
      <c r="AT1148">
        <f>HYPERLINK("http://www.worldcat.org/oclc/940635","WorldCat Record")</f>
        <v/>
      </c>
      <c r="AU1148" t="inlineStr">
        <is>
          <t>5219082377:eng</t>
        </is>
      </c>
      <c r="AV1148" t="inlineStr">
        <is>
          <t>940635</t>
        </is>
      </c>
      <c r="AW1148" t="inlineStr">
        <is>
          <t>991004389249702656</t>
        </is>
      </c>
      <c r="AX1148" t="inlineStr">
        <is>
          <t>991004389249702656</t>
        </is>
      </c>
      <c r="AY1148" t="inlineStr">
        <is>
          <t>2272340470002656</t>
        </is>
      </c>
      <c r="AZ1148" t="inlineStr">
        <is>
          <t>BOOK</t>
        </is>
      </c>
      <c r="BB1148" t="inlineStr">
        <is>
          <t>9780306352119</t>
        </is>
      </c>
      <c r="BC1148" t="inlineStr">
        <is>
          <t>32285000639350</t>
        </is>
      </c>
      <c r="BD1148" t="inlineStr">
        <is>
          <t>893869659</t>
        </is>
      </c>
    </row>
    <row r="1149">
      <c r="A1149" t="inlineStr">
        <is>
          <t>No</t>
        </is>
      </c>
      <c r="B1149" t="inlineStr">
        <is>
          <t>QD503 .N6813 1987</t>
        </is>
      </c>
      <c r="C1149" t="inlineStr">
        <is>
          <t>0                      QD 0503000N  6813        1987</t>
        </is>
      </c>
      <c r="D1149" t="inlineStr">
        <is>
          <t>Liquid-liquid equilibria / Josef P. Novák, Jaroslav Matouš and Jiři Pick.</t>
        </is>
      </c>
      <c r="F1149" t="inlineStr">
        <is>
          <t>No</t>
        </is>
      </c>
      <c r="G1149" t="inlineStr">
        <is>
          <t>1</t>
        </is>
      </c>
      <c r="H1149" t="inlineStr">
        <is>
          <t>No</t>
        </is>
      </c>
      <c r="I1149" t="inlineStr">
        <is>
          <t>No</t>
        </is>
      </c>
      <c r="J1149" t="inlineStr">
        <is>
          <t>0</t>
        </is>
      </c>
      <c r="K1149" t="inlineStr">
        <is>
          <t>Novák, Josef P.</t>
        </is>
      </c>
      <c r="L1149" t="inlineStr">
        <is>
          <t>Amsterdam ; New York : Elsevier, 1987.</t>
        </is>
      </c>
      <c r="M1149" t="inlineStr">
        <is>
          <t>1987</t>
        </is>
      </c>
      <c r="O1149" t="inlineStr">
        <is>
          <t>eng</t>
        </is>
      </c>
      <c r="P1149" t="inlineStr">
        <is>
          <t xml:space="preserve">ne </t>
        </is>
      </c>
      <c r="Q1149" t="inlineStr">
        <is>
          <t>Studies in modern thermodynamics ; 7</t>
        </is>
      </c>
      <c r="R1149" t="inlineStr">
        <is>
          <t xml:space="preserve">QD </t>
        </is>
      </c>
      <c r="S1149" t="n">
        <v>6</v>
      </c>
      <c r="T1149" t="n">
        <v>6</v>
      </c>
      <c r="U1149" t="inlineStr">
        <is>
          <t>1994-04-06</t>
        </is>
      </c>
      <c r="V1149" t="inlineStr">
        <is>
          <t>1994-04-06</t>
        </is>
      </c>
      <c r="W1149" t="inlineStr">
        <is>
          <t>1993-02-10</t>
        </is>
      </c>
      <c r="X1149" t="inlineStr">
        <is>
          <t>1993-02-10</t>
        </is>
      </c>
      <c r="Y1149" t="n">
        <v>149</v>
      </c>
      <c r="Z1149" t="n">
        <v>91</v>
      </c>
      <c r="AA1149" t="n">
        <v>92</v>
      </c>
      <c r="AB1149" t="n">
        <v>1</v>
      </c>
      <c r="AC1149" t="n">
        <v>1</v>
      </c>
      <c r="AD1149" t="n">
        <v>1</v>
      </c>
      <c r="AE1149" t="n">
        <v>1</v>
      </c>
      <c r="AF1149" t="n">
        <v>0</v>
      </c>
      <c r="AG1149" t="n">
        <v>0</v>
      </c>
      <c r="AH1149" t="n">
        <v>0</v>
      </c>
      <c r="AI1149" t="n">
        <v>0</v>
      </c>
      <c r="AJ1149" t="n">
        <v>1</v>
      </c>
      <c r="AK1149" t="n">
        <v>1</v>
      </c>
      <c r="AL1149" t="n">
        <v>0</v>
      </c>
      <c r="AM1149" t="n">
        <v>0</v>
      </c>
      <c r="AN1149" t="n">
        <v>0</v>
      </c>
      <c r="AO1149" t="n">
        <v>0</v>
      </c>
      <c r="AP1149" t="inlineStr">
        <is>
          <t>No</t>
        </is>
      </c>
      <c r="AQ1149" t="inlineStr">
        <is>
          <t>Yes</t>
        </is>
      </c>
      <c r="AR1149">
        <f>HYPERLINK("http://catalog.hathitrust.org/Record/000902004","HathiTrust Record")</f>
        <v/>
      </c>
      <c r="AS1149">
        <f>HYPERLINK("https://creighton-primo.hosted.exlibrisgroup.com/primo-explore/search?tab=default_tab&amp;search_scope=EVERYTHING&amp;vid=01CRU&amp;lang=en_US&amp;offset=0&amp;query=any,contains,991000944519702656","Catalog Record")</f>
        <v/>
      </c>
      <c r="AT1149">
        <f>HYPERLINK("http://www.worldcat.org/oclc/14519456","WorldCat Record")</f>
        <v/>
      </c>
      <c r="AU1149" t="inlineStr">
        <is>
          <t>8527304:eng</t>
        </is>
      </c>
      <c r="AV1149" t="inlineStr">
        <is>
          <t>14519456</t>
        </is>
      </c>
      <c r="AW1149" t="inlineStr">
        <is>
          <t>991000944519702656</t>
        </is>
      </c>
      <c r="AX1149" t="inlineStr">
        <is>
          <t>991000944519702656</t>
        </is>
      </c>
      <c r="AY1149" t="inlineStr">
        <is>
          <t>2254772860002656</t>
        </is>
      </c>
      <c r="AZ1149" t="inlineStr">
        <is>
          <t>BOOK</t>
        </is>
      </c>
      <c r="BB1149" t="inlineStr">
        <is>
          <t>9780444989758</t>
        </is>
      </c>
      <c r="BC1149" t="inlineStr">
        <is>
          <t>32285001517357</t>
        </is>
      </c>
      <c r="BD1149" t="inlineStr">
        <is>
          <t>893683885</t>
        </is>
      </c>
    </row>
    <row r="1150">
      <c r="A1150" t="inlineStr">
        <is>
          <t>No</t>
        </is>
      </c>
      <c r="B1150" t="inlineStr">
        <is>
          <t>QD503 .S58 1982</t>
        </is>
      </c>
      <c r="C1150" t="inlineStr">
        <is>
          <t>0                      QD 0503000S  58          1982</t>
        </is>
      </c>
      <c r="D1150" t="inlineStr">
        <is>
          <t>Chemical reaction equilibrium analysis : theory and algorithms / William R. Smith, Ronald W. Missen.</t>
        </is>
      </c>
      <c r="F1150" t="inlineStr">
        <is>
          <t>No</t>
        </is>
      </c>
      <c r="G1150" t="inlineStr">
        <is>
          <t>1</t>
        </is>
      </c>
      <c r="H1150" t="inlineStr">
        <is>
          <t>No</t>
        </is>
      </c>
      <c r="I1150" t="inlineStr">
        <is>
          <t>No</t>
        </is>
      </c>
      <c r="J1150" t="inlineStr">
        <is>
          <t>0</t>
        </is>
      </c>
      <c r="K1150" t="inlineStr">
        <is>
          <t>Smith, William R. (William Robert), 1943-</t>
        </is>
      </c>
      <c r="L1150" t="inlineStr">
        <is>
          <t>New York : Wiley, c1982.</t>
        </is>
      </c>
      <c r="M1150" t="inlineStr">
        <is>
          <t>1982</t>
        </is>
      </c>
      <c r="O1150" t="inlineStr">
        <is>
          <t>eng</t>
        </is>
      </c>
      <c r="P1150" t="inlineStr">
        <is>
          <t>nyu</t>
        </is>
      </c>
      <c r="R1150" t="inlineStr">
        <is>
          <t xml:space="preserve">QD </t>
        </is>
      </c>
      <c r="S1150" t="n">
        <v>3</v>
      </c>
      <c r="T1150" t="n">
        <v>3</v>
      </c>
      <c r="U1150" t="inlineStr">
        <is>
          <t>2002-02-21</t>
        </is>
      </c>
      <c r="V1150" t="inlineStr">
        <is>
          <t>2002-02-21</t>
        </is>
      </c>
      <c r="W1150" t="inlineStr">
        <is>
          <t>1992-01-21</t>
        </is>
      </c>
      <c r="X1150" t="inlineStr">
        <is>
          <t>1992-01-21</t>
        </is>
      </c>
      <c r="Y1150" t="n">
        <v>491</v>
      </c>
      <c r="Z1150" t="n">
        <v>393</v>
      </c>
      <c r="AA1150" t="n">
        <v>411</v>
      </c>
      <c r="AB1150" t="n">
        <v>2</v>
      </c>
      <c r="AC1150" t="n">
        <v>2</v>
      </c>
      <c r="AD1150" t="n">
        <v>13</v>
      </c>
      <c r="AE1150" t="n">
        <v>13</v>
      </c>
      <c r="AF1150" t="n">
        <v>4</v>
      </c>
      <c r="AG1150" t="n">
        <v>4</v>
      </c>
      <c r="AH1150" t="n">
        <v>5</v>
      </c>
      <c r="AI1150" t="n">
        <v>5</v>
      </c>
      <c r="AJ1150" t="n">
        <v>7</v>
      </c>
      <c r="AK1150" t="n">
        <v>7</v>
      </c>
      <c r="AL1150" t="n">
        <v>1</v>
      </c>
      <c r="AM1150" t="n">
        <v>1</v>
      </c>
      <c r="AN1150" t="n">
        <v>0</v>
      </c>
      <c r="AO1150" t="n">
        <v>0</v>
      </c>
      <c r="AP1150" t="inlineStr">
        <is>
          <t>No</t>
        </is>
      </c>
      <c r="AQ1150" t="inlineStr">
        <is>
          <t>Yes</t>
        </is>
      </c>
      <c r="AR1150">
        <f>HYPERLINK("http://catalog.hathitrust.org/Record/000231419","HathiTrust Record")</f>
        <v/>
      </c>
      <c r="AS1150">
        <f>HYPERLINK("https://creighton-primo.hosted.exlibrisgroup.com/primo-explore/search?tab=default_tab&amp;search_scope=EVERYTHING&amp;vid=01CRU&amp;lang=en_US&amp;offset=0&amp;query=any,contains,991005240199702656","Catalog Record")</f>
        <v/>
      </c>
      <c r="AT1150">
        <f>HYPERLINK("http://www.worldcat.org/oclc/8410301","WorldCat Record")</f>
        <v/>
      </c>
      <c r="AU1150" t="inlineStr">
        <is>
          <t>489289:eng</t>
        </is>
      </c>
      <c r="AV1150" t="inlineStr">
        <is>
          <t>8410301</t>
        </is>
      </c>
      <c r="AW1150" t="inlineStr">
        <is>
          <t>991005240199702656</t>
        </is>
      </c>
      <c r="AX1150" t="inlineStr">
        <is>
          <t>991005240199702656</t>
        </is>
      </c>
      <c r="AY1150" t="inlineStr">
        <is>
          <t>2259194690002656</t>
        </is>
      </c>
      <c r="AZ1150" t="inlineStr">
        <is>
          <t>BOOK</t>
        </is>
      </c>
      <c r="BB1150" t="inlineStr">
        <is>
          <t>9780471093473</t>
        </is>
      </c>
      <c r="BC1150" t="inlineStr">
        <is>
          <t>32285000916691</t>
        </is>
      </c>
      <c r="BD1150" t="inlineStr">
        <is>
          <t>893883570</t>
        </is>
      </c>
    </row>
    <row r="1151">
      <c r="A1151" t="inlineStr">
        <is>
          <t>No</t>
        </is>
      </c>
      <c r="B1151" t="inlineStr">
        <is>
          <t>QD504 .G78 1997</t>
        </is>
      </c>
      <c r="C1151" t="inlineStr">
        <is>
          <t>0                      QD 0504000G  78          1997</t>
        </is>
      </c>
      <c r="D1151" t="inlineStr">
        <is>
          <t>Thermodynamics of molecular species / Ernest Grunwald.</t>
        </is>
      </c>
      <c r="F1151" t="inlineStr">
        <is>
          <t>No</t>
        </is>
      </c>
      <c r="G1151" t="inlineStr">
        <is>
          <t>1</t>
        </is>
      </c>
      <c r="H1151" t="inlineStr">
        <is>
          <t>No</t>
        </is>
      </c>
      <c r="I1151" t="inlineStr">
        <is>
          <t>No</t>
        </is>
      </c>
      <c r="J1151" t="inlineStr">
        <is>
          <t>0</t>
        </is>
      </c>
      <c r="K1151" t="inlineStr">
        <is>
          <t>Grunwald, Ernest, 1923-2002.</t>
        </is>
      </c>
      <c r="L1151" t="inlineStr">
        <is>
          <t>New York : Wiley, c1997.</t>
        </is>
      </c>
      <c r="M1151" t="inlineStr">
        <is>
          <t>1997</t>
        </is>
      </c>
      <c r="O1151" t="inlineStr">
        <is>
          <t>eng</t>
        </is>
      </c>
      <c r="P1151" t="inlineStr">
        <is>
          <t>nyu</t>
        </is>
      </c>
      <c r="R1151" t="inlineStr">
        <is>
          <t xml:space="preserve">QD </t>
        </is>
      </c>
      <c r="S1151" t="n">
        <v>2</v>
      </c>
      <c r="T1151" t="n">
        <v>2</v>
      </c>
      <c r="U1151" t="inlineStr">
        <is>
          <t>1998-05-20</t>
        </is>
      </c>
      <c r="V1151" t="inlineStr">
        <is>
          <t>1998-05-20</t>
        </is>
      </c>
      <c r="W1151" t="inlineStr">
        <is>
          <t>1998-04-13</t>
        </is>
      </c>
      <c r="X1151" t="inlineStr">
        <is>
          <t>1998-04-13</t>
        </is>
      </c>
      <c r="Y1151" t="n">
        <v>321</v>
      </c>
      <c r="Z1151" t="n">
        <v>257</v>
      </c>
      <c r="AA1151" t="n">
        <v>257</v>
      </c>
      <c r="AB1151" t="n">
        <v>3</v>
      </c>
      <c r="AC1151" t="n">
        <v>3</v>
      </c>
      <c r="AD1151" t="n">
        <v>15</v>
      </c>
      <c r="AE1151" t="n">
        <v>15</v>
      </c>
      <c r="AF1151" t="n">
        <v>4</v>
      </c>
      <c r="AG1151" t="n">
        <v>4</v>
      </c>
      <c r="AH1151" t="n">
        <v>4</v>
      </c>
      <c r="AI1151" t="n">
        <v>4</v>
      </c>
      <c r="AJ1151" t="n">
        <v>9</v>
      </c>
      <c r="AK1151" t="n">
        <v>9</v>
      </c>
      <c r="AL1151" t="n">
        <v>2</v>
      </c>
      <c r="AM1151" t="n">
        <v>2</v>
      </c>
      <c r="AN1151" t="n">
        <v>0</v>
      </c>
      <c r="AO1151" t="n">
        <v>0</v>
      </c>
      <c r="AP1151" t="inlineStr">
        <is>
          <t>No</t>
        </is>
      </c>
      <c r="AQ1151" t="inlineStr">
        <is>
          <t>No</t>
        </is>
      </c>
      <c r="AS1151">
        <f>HYPERLINK("https://creighton-primo.hosted.exlibrisgroup.com/primo-explore/search?tab=default_tab&amp;search_scope=EVERYTHING&amp;vid=01CRU&amp;lang=en_US&amp;offset=0&amp;query=any,contains,991002634099702656","Catalog Record")</f>
        <v/>
      </c>
      <c r="AT1151">
        <f>HYPERLINK("http://www.worldcat.org/oclc/34515436","WorldCat Record")</f>
        <v/>
      </c>
      <c r="AU1151" t="inlineStr">
        <is>
          <t>8908594554:eng</t>
        </is>
      </c>
      <c r="AV1151" t="inlineStr">
        <is>
          <t>34515436</t>
        </is>
      </c>
      <c r="AW1151" t="inlineStr">
        <is>
          <t>991002634099702656</t>
        </is>
      </c>
      <c r="AX1151" t="inlineStr">
        <is>
          <t>991002634099702656</t>
        </is>
      </c>
      <c r="AY1151" t="inlineStr">
        <is>
          <t>2272077530002656</t>
        </is>
      </c>
      <c r="AZ1151" t="inlineStr">
        <is>
          <t>BOOK</t>
        </is>
      </c>
      <c r="BB1151" t="inlineStr">
        <is>
          <t>9780471012542</t>
        </is>
      </c>
      <c r="BC1151" t="inlineStr">
        <is>
          <t>32285003384624</t>
        </is>
      </c>
      <c r="BD1151" t="inlineStr">
        <is>
          <t>893603810</t>
        </is>
      </c>
    </row>
    <row r="1152">
      <c r="A1152" t="inlineStr">
        <is>
          <t>No</t>
        </is>
      </c>
      <c r="B1152" t="inlineStr">
        <is>
          <t>QD504 .H33 2008</t>
        </is>
      </c>
      <c r="C1152" t="inlineStr">
        <is>
          <t>0                      QD 0504000H  33          2008</t>
        </is>
      </c>
      <c r="D1152" t="inlineStr">
        <is>
          <t>Introduction to molecular thermodynamics / Robert M. Hanson, Susan Green.</t>
        </is>
      </c>
      <c r="F1152" t="inlineStr">
        <is>
          <t>No</t>
        </is>
      </c>
      <c r="G1152" t="inlineStr">
        <is>
          <t>1</t>
        </is>
      </c>
      <c r="H1152" t="inlineStr">
        <is>
          <t>No</t>
        </is>
      </c>
      <c r="I1152" t="inlineStr">
        <is>
          <t>No</t>
        </is>
      </c>
      <c r="J1152" t="inlineStr">
        <is>
          <t>0</t>
        </is>
      </c>
      <c r="K1152" t="inlineStr">
        <is>
          <t>Hanson, Robert M., 1957-</t>
        </is>
      </c>
      <c r="L1152" t="inlineStr">
        <is>
          <t>Sausalito, Calif. : University Science Books, c2008.</t>
        </is>
      </c>
      <c r="M1152" t="inlineStr">
        <is>
          <t>2008</t>
        </is>
      </c>
      <c r="O1152" t="inlineStr">
        <is>
          <t>eng</t>
        </is>
      </c>
      <c r="P1152" t="inlineStr">
        <is>
          <t>cau</t>
        </is>
      </c>
      <c r="R1152" t="inlineStr">
        <is>
          <t xml:space="preserve">QD </t>
        </is>
      </c>
      <c r="S1152" t="n">
        <v>1</v>
      </c>
      <c r="T1152" t="n">
        <v>1</v>
      </c>
      <c r="U1152" t="inlineStr">
        <is>
          <t>2010-02-22</t>
        </is>
      </c>
      <c r="V1152" t="inlineStr">
        <is>
          <t>2010-02-22</t>
        </is>
      </c>
      <c r="W1152" t="inlineStr">
        <is>
          <t>2010-02-22</t>
        </is>
      </c>
      <c r="X1152" t="inlineStr">
        <is>
          <t>2010-02-22</t>
        </is>
      </c>
      <c r="Y1152" t="n">
        <v>335</v>
      </c>
      <c r="Z1152" t="n">
        <v>267</v>
      </c>
      <c r="AA1152" t="n">
        <v>267</v>
      </c>
      <c r="AB1152" t="n">
        <v>1</v>
      </c>
      <c r="AC1152" t="n">
        <v>1</v>
      </c>
      <c r="AD1152" t="n">
        <v>12</v>
      </c>
      <c r="AE1152" t="n">
        <v>12</v>
      </c>
      <c r="AF1152" t="n">
        <v>8</v>
      </c>
      <c r="AG1152" t="n">
        <v>8</v>
      </c>
      <c r="AH1152" t="n">
        <v>2</v>
      </c>
      <c r="AI1152" t="n">
        <v>2</v>
      </c>
      <c r="AJ1152" t="n">
        <v>6</v>
      </c>
      <c r="AK1152" t="n">
        <v>6</v>
      </c>
      <c r="AL1152" t="n">
        <v>0</v>
      </c>
      <c r="AM1152" t="n">
        <v>0</v>
      </c>
      <c r="AN1152" t="n">
        <v>0</v>
      </c>
      <c r="AO1152" t="n">
        <v>0</v>
      </c>
      <c r="AP1152" t="inlineStr">
        <is>
          <t>No</t>
        </is>
      </c>
      <c r="AQ1152" t="inlineStr">
        <is>
          <t>No</t>
        </is>
      </c>
      <c r="AS1152">
        <f>HYPERLINK("https://creighton-primo.hosted.exlibrisgroup.com/primo-explore/search?tab=default_tab&amp;search_scope=EVERYTHING&amp;vid=01CRU&amp;lang=en_US&amp;offset=0&amp;query=any,contains,991005363639702656","Catalog Record")</f>
        <v/>
      </c>
      <c r="AT1152">
        <f>HYPERLINK("http://www.worldcat.org/oclc/181862934","WorldCat Record")</f>
        <v/>
      </c>
      <c r="AU1152" t="inlineStr">
        <is>
          <t>116925002:eng</t>
        </is>
      </c>
      <c r="AV1152" t="inlineStr">
        <is>
          <t>181862934</t>
        </is>
      </c>
      <c r="AW1152" t="inlineStr">
        <is>
          <t>991005363639702656</t>
        </is>
      </c>
      <c r="AX1152" t="inlineStr">
        <is>
          <t>991005363639702656</t>
        </is>
      </c>
      <c r="AY1152" t="inlineStr">
        <is>
          <t>2258161610002656</t>
        </is>
      </c>
      <c r="AZ1152" t="inlineStr">
        <is>
          <t>BOOK</t>
        </is>
      </c>
      <c r="BB1152" t="inlineStr">
        <is>
          <t>9781891389498</t>
        </is>
      </c>
      <c r="BC1152" t="inlineStr">
        <is>
          <t>32285005574909</t>
        </is>
      </c>
      <c r="BD1152" t="inlineStr">
        <is>
          <t>893619861</t>
        </is>
      </c>
    </row>
    <row r="1153">
      <c r="A1153" t="inlineStr">
        <is>
          <t>No</t>
        </is>
      </c>
      <c r="B1153" t="inlineStr">
        <is>
          <t>QD504 .L43 1988</t>
        </is>
      </c>
      <c r="C1153" t="inlineStr">
        <is>
          <t>0                      QD 0504000L  43          1988</t>
        </is>
      </c>
      <c r="D1153" t="inlineStr">
        <is>
          <t>Molecular thermodynamics of nonideal fluids / Lloyd L. Lee.</t>
        </is>
      </c>
      <c r="F1153" t="inlineStr">
        <is>
          <t>No</t>
        </is>
      </c>
      <c r="G1153" t="inlineStr">
        <is>
          <t>1</t>
        </is>
      </c>
      <c r="H1153" t="inlineStr">
        <is>
          <t>No</t>
        </is>
      </c>
      <c r="I1153" t="inlineStr">
        <is>
          <t>No</t>
        </is>
      </c>
      <c r="J1153" t="inlineStr">
        <is>
          <t>0</t>
        </is>
      </c>
      <c r="K1153" t="inlineStr">
        <is>
          <t>Lee, Lloyd L.</t>
        </is>
      </c>
      <c r="L1153" t="inlineStr">
        <is>
          <t>Boston : Butterworths, c1988.</t>
        </is>
      </c>
      <c r="M1153" t="inlineStr">
        <is>
          <t>1988</t>
        </is>
      </c>
      <c r="O1153" t="inlineStr">
        <is>
          <t>eng</t>
        </is>
      </c>
      <c r="P1153" t="inlineStr">
        <is>
          <t>mau</t>
        </is>
      </c>
      <c r="Q1153" t="inlineStr">
        <is>
          <t>Butterworths series in chemical engineering</t>
        </is>
      </c>
      <c r="R1153" t="inlineStr">
        <is>
          <t xml:space="preserve">QD </t>
        </is>
      </c>
      <c r="S1153" t="n">
        <v>2</v>
      </c>
      <c r="T1153" t="n">
        <v>2</v>
      </c>
      <c r="U1153" t="inlineStr">
        <is>
          <t>1994-03-05</t>
        </is>
      </c>
      <c r="V1153" t="inlineStr">
        <is>
          <t>1994-03-05</t>
        </is>
      </c>
      <c r="W1153" t="inlineStr">
        <is>
          <t>1990-08-17</t>
        </is>
      </c>
      <c r="X1153" t="inlineStr">
        <is>
          <t>1990-08-17</t>
        </is>
      </c>
      <c r="Y1153" t="n">
        <v>192</v>
      </c>
      <c r="Z1153" t="n">
        <v>137</v>
      </c>
      <c r="AA1153" t="n">
        <v>179</v>
      </c>
      <c r="AB1153" t="n">
        <v>2</v>
      </c>
      <c r="AC1153" t="n">
        <v>3</v>
      </c>
      <c r="AD1153" t="n">
        <v>3</v>
      </c>
      <c r="AE1153" t="n">
        <v>6</v>
      </c>
      <c r="AF1153" t="n">
        <v>0</v>
      </c>
      <c r="AG1153" t="n">
        <v>1</v>
      </c>
      <c r="AH1153" t="n">
        <v>1</v>
      </c>
      <c r="AI1153" t="n">
        <v>2</v>
      </c>
      <c r="AJ1153" t="n">
        <v>1</v>
      </c>
      <c r="AK1153" t="n">
        <v>1</v>
      </c>
      <c r="AL1153" t="n">
        <v>1</v>
      </c>
      <c r="AM1153" t="n">
        <v>2</v>
      </c>
      <c r="AN1153" t="n">
        <v>0</v>
      </c>
      <c r="AO1153" t="n">
        <v>0</v>
      </c>
      <c r="AP1153" t="inlineStr">
        <is>
          <t>No</t>
        </is>
      </c>
      <c r="AQ1153" t="inlineStr">
        <is>
          <t>Yes</t>
        </is>
      </c>
      <c r="AR1153">
        <f>HYPERLINK("http://catalog.hathitrust.org/Record/001096627","HathiTrust Record")</f>
        <v/>
      </c>
      <c r="AS1153">
        <f>HYPERLINK("https://creighton-primo.hosted.exlibrisgroup.com/primo-explore/search?tab=default_tab&amp;search_scope=EVERYTHING&amp;vid=01CRU&amp;lang=en_US&amp;offset=0&amp;query=any,contains,991001019579702656","Catalog Record")</f>
        <v/>
      </c>
      <c r="AT1153">
        <f>HYPERLINK("http://www.worldcat.org/oclc/15365993","WorldCat Record")</f>
        <v/>
      </c>
      <c r="AU1153" t="inlineStr">
        <is>
          <t>10085704:eng</t>
        </is>
      </c>
      <c r="AV1153" t="inlineStr">
        <is>
          <t>15365993</t>
        </is>
      </c>
      <c r="AW1153" t="inlineStr">
        <is>
          <t>991001019579702656</t>
        </is>
      </c>
      <c r="AX1153" t="inlineStr">
        <is>
          <t>991001019579702656</t>
        </is>
      </c>
      <c r="AY1153" t="inlineStr">
        <is>
          <t>2260133970002656</t>
        </is>
      </c>
      <c r="AZ1153" t="inlineStr">
        <is>
          <t>BOOK</t>
        </is>
      </c>
      <c r="BB1153" t="inlineStr">
        <is>
          <t>9780409900880</t>
        </is>
      </c>
      <c r="BC1153" t="inlineStr">
        <is>
          <t>32285000244060</t>
        </is>
      </c>
      <c r="BD1153" t="inlineStr">
        <is>
          <t>893708923</t>
        </is>
      </c>
    </row>
    <row r="1154">
      <c r="A1154" t="inlineStr">
        <is>
          <t>No</t>
        </is>
      </c>
      <c r="B1154" t="inlineStr">
        <is>
          <t>QD504 .L56 2004</t>
        </is>
      </c>
      <c r="C1154" t="inlineStr">
        <is>
          <t>0                      QD 0504000L  56          2004</t>
        </is>
      </c>
      <c r="D1154" t="inlineStr">
        <is>
          <t>Thermodynamics and introductory statistical mechanics / Bruno Linder.</t>
        </is>
      </c>
      <c r="F1154" t="inlineStr">
        <is>
          <t>No</t>
        </is>
      </c>
      <c r="G1154" t="inlineStr">
        <is>
          <t>1</t>
        </is>
      </c>
      <c r="H1154" t="inlineStr">
        <is>
          <t>No</t>
        </is>
      </c>
      <c r="I1154" t="inlineStr">
        <is>
          <t>No</t>
        </is>
      </c>
      <c r="J1154" t="inlineStr">
        <is>
          <t>0</t>
        </is>
      </c>
      <c r="K1154" t="inlineStr">
        <is>
          <t>Linder, Bruno.</t>
        </is>
      </c>
      <c r="L1154" t="inlineStr">
        <is>
          <t>Hoboken, N.J. : Wiley-Interscience, c2004.</t>
        </is>
      </c>
      <c r="M1154" t="inlineStr">
        <is>
          <t>2004</t>
        </is>
      </c>
      <c r="O1154" t="inlineStr">
        <is>
          <t>eng</t>
        </is>
      </c>
      <c r="P1154" t="inlineStr">
        <is>
          <t>nju</t>
        </is>
      </c>
      <c r="R1154" t="inlineStr">
        <is>
          <t xml:space="preserve">QD </t>
        </is>
      </c>
      <c r="S1154" t="n">
        <v>3</v>
      </c>
      <c r="T1154" t="n">
        <v>3</v>
      </c>
      <c r="U1154" t="inlineStr">
        <is>
          <t>2009-10-15</t>
        </is>
      </c>
      <c r="V1154" t="inlineStr">
        <is>
          <t>2009-10-15</t>
        </is>
      </c>
      <c r="W1154" t="inlineStr">
        <is>
          <t>2004-12-14</t>
        </is>
      </c>
      <c r="X1154" t="inlineStr">
        <is>
          <t>2004-12-14</t>
        </is>
      </c>
      <c r="Y1154" t="n">
        <v>291</v>
      </c>
      <c r="Z1154" t="n">
        <v>215</v>
      </c>
      <c r="AA1154" t="n">
        <v>566</v>
      </c>
      <c r="AB1154" t="n">
        <v>4</v>
      </c>
      <c r="AC1154" t="n">
        <v>32</v>
      </c>
      <c r="AD1154" t="n">
        <v>10</v>
      </c>
      <c r="AE1154" t="n">
        <v>24</v>
      </c>
      <c r="AF1154" t="n">
        <v>3</v>
      </c>
      <c r="AG1154" t="n">
        <v>6</v>
      </c>
      <c r="AH1154" t="n">
        <v>1</v>
      </c>
      <c r="AI1154" t="n">
        <v>1</v>
      </c>
      <c r="AJ1154" t="n">
        <v>5</v>
      </c>
      <c r="AK1154" t="n">
        <v>7</v>
      </c>
      <c r="AL1154" t="n">
        <v>3</v>
      </c>
      <c r="AM1154" t="n">
        <v>13</v>
      </c>
      <c r="AN1154" t="n">
        <v>0</v>
      </c>
      <c r="AO1154" t="n">
        <v>0</v>
      </c>
      <c r="AP1154" t="inlineStr">
        <is>
          <t>No</t>
        </is>
      </c>
      <c r="AQ1154" t="inlineStr">
        <is>
          <t>No</t>
        </is>
      </c>
      <c r="AS1154">
        <f>HYPERLINK("https://creighton-primo.hosted.exlibrisgroup.com/primo-explore/search?tab=default_tab&amp;search_scope=EVERYTHING&amp;vid=01CRU&amp;lang=en_US&amp;offset=0&amp;query=any,contains,991004408469702656","Catalog Record")</f>
        <v/>
      </c>
      <c r="AT1154">
        <f>HYPERLINK("http://www.worldcat.org/oclc/54454741","WorldCat Record")</f>
        <v/>
      </c>
      <c r="AU1154" t="inlineStr">
        <is>
          <t>12485267:eng</t>
        </is>
      </c>
      <c r="AV1154" t="inlineStr">
        <is>
          <t>54454741</t>
        </is>
      </c>
      <c r="AW1154" t="inlineStr">
        <is>
          <t>991004408469702656</t>
        </is>
      </c>
      <c r="AX1154" t="inlineStr">
        <is>
          <t>991004408469702656</t>
        </is>
      </c>
      <c r="AY1154" t="inlineStr">
        <is>
          <t>2258376960002656</t>
        </is>
      </c>
      <c r="AZ1154" t="inlineStr">
        <is>
          <t>BOOK</t>
        </is>
      </c>
      <c r="BB1154" t="inlineStr">
        <is>
          <t>9780471474593</t>
        </is>
      </c>
      <c r="BC1154" t="inlineStr">
        <is>
          <t>32285005016752</t>
        </is>
      </c>
      <c r="BD1154" t="inlineStr">
        <is>
          <t>893247552</t>
        </is>
      </c>
    </row>
    <row r="1155">
      <c r="A1155" t="inlineStr">
        <is>
          <t>No</t>
        </is>
      </c>
      <c r="B1155" t="inlineStr">
        <is>
          <t>QD504 .M465 2006</t>
        </is>
      </c>
      <c r="C1155" t="inlineStr">
        <is>
          <t>0                      QD 0504000M  465         2006</t>
        </is>
      </c>
      <c r="D1155" t="inlineStr">
        <is>
          <t>Physical chemistry. Thermodynamics / Horia Metiu.</t>
        </is>
      </c>
      <c r="F1155" t="inlineStr">
        <is>
          <t>No</t>
        </is>
      </c>
      <c r="G1155" t="inlineStr">
        <is>
          <t>1</t>
        </is>
      </c>
      <c r="H1155" t="inlineStr">
        <is>
          <t>No</t>
        </is>
      </c>
      <c r="I1155" t="inlineStr">
        <is>
          <t>No</t>
        </is>
      </c>
      <c r="J1155" t="inlineStr">
        <is>
          <t>0</t>
        </is>
      </c>
      <c r="K1155" t="inlineStr">
        <is>
          <t>Metiu, Horia, 1940-</t>
        </is>
      </c>
      <c r="L1155" t="inlineStr">
        <is>
          <t>New York : Taylor &amp; Francis Group, c2006.</t>
        </is>
      </c>
      <c r="M1155" t="inlineStr">
        <is>
          <t>2006</t>
        </is>
      </c>
      <c r="O1155" t="inlineStr">
        <is>
          <t>eng</t>
        </is>
      </c>
      <c r="P1155" t="inlineStr">
        <is>
          <t>nyu</t>
        </is>
      </c>
      <c r="R1155" t="inlineStr">
        <is>
          <t xml:space="preserve">QD </t>
        </is>
      </c>
      <c r="S1155" t="n">
        <v>3</v>
      </c>
      <c r="T1155" t="n">
        <v>3</v>
      </c>
      <c r="U1155" t="inlineStr">
        <is>
          <t>2008-01-14</t>
        </is>
      </c>
      <c r="V1155" t="inlineStr">
        <is>
          <t>2008-01-14</t>
        </is>
      </c>
      <c r="W1155" t="inlineStr">
        <is>
          <t>2007-03-08</t>
        </is>
      </c>
      <c r="X1155" t="inlineStr">
        <is>
          <t>2007-03-08</t>
        </is>
      </c>
      <c r="Y1155" t="n">
        <v>291</v>
      </c>
      <c r="Z1155" t="n">
        <v>209</v>
      </c>
      <c r="AA1155" t="n">
        <v>228</v>
      </c>
      <c r="AB1155" t="n">
        <v>2</v>
      </c>
      <c r="AC1155" t="n">
        <v>2</v>
      </c>
      <c r="AD1155" t="n">
        <v>5</v>
      </c>
      <c r="AE1155" t="n">
        <v>5</v>
      </c>
      <c r="AF1155" t="n">
        <v>3</v>
      </c>
      <c r="AG1155" t="n">
        <v>3</v>
      </c>
      <c r="AH1155" t="n">
        <v>1</v>
      </c>
      <c r="AI1155" t="n">
        <v>1</v>
      </c>
      <c r="AJ1155" t="n">
        <v>1</v>
      </c>
      <c r="AK1155" t="n">
        <v>1</v>
      </c>
      <c r="AL1155" t="n">
        <v>1</v>
      </c>
      <c r="AM1155" t="n">
        <v>1</v>
      </c>
      <c r="AN1155" t="n">
        <v>0</v>
      </c>
      <c r="AO1155" t="n">
        <v>0</v>
      </c>
      <c r="AP1155" t="inlineStr">
        <is>
          <t>No</t>
        </is>
      </c>
      <c r="AQ1155" t="inlineStr">
        <is>
          <t>No</t>
        </is>
      </c>
      <c r="AS1155">
        <f>HYPERLINK("https://creighton-primo.hosted.exlibrisgroup.com/primo-explore/search?tab=default_tab&amp;search_scope=EVERYTHING&amp;vid=01CRU&amp;lang=en_US&amp;offset=0&amp;query=any,contains,991005037399702656","Catalog Record")</f>
        <v/>
      </c>
      <c r="AT1155">
        <f>HYPERLINK("http://www.worldcat.org/oclc/62281639","WorldCat Record")</f>
        <v/>
      </c>
      <c r="AU1155" t="inlineStr">
        <is>
          <t>200684418:eng</t>
        </is>
      </c>
      <c r="AV1155" t="inlineStr">
        <is>
          <t>62281639</t>
        </is>
      </c>
      <c r="AW1155" t="inlineStr">
        <is>
          <t>991005037399702656</t>
        </is>
      </c>
      <c r="AX1155" t="inlineStr">
        <is>
          <t>991005037399702656</t>
        </is>
      </c>
      <c r="AY1155" t="inlineStr">
        <is>
          <t>2258348520002656</t>
        </is>
      </c>
      <c r="AZ1155" t="inlineStr">
        <is>
          <t>BOOK</t>
        </is>
      </c>
      <c r="BB1155" t="inlineStr">
        <is>
          <t>9780815340911</t>
        </is>
      </c>
      <c r="BC1155" t="inlineStr">
        <is>
          <t>32285005301253</t>
        </is>
      </c>
      <c r="BD1155" t="inlineStr">
        <is>
          <t>893319926</t>
        </is>
      </c>
    </row>
    <row r="1156">
      <c r="A1156" t="inlineStr">
        <is>
          <t>No</t>
        </is>
      </c>
      <c r="B1156" t="inlineStr">
        <is>
          <t>QD504 .P73 1986</t>
        </is>
      </c>
      <c r="C1156" t="inlineStr">
        <is>
          <t>0                      QD 0504000P  73          1986</t>
        </is>
      </c>
      <c r="D1156" t="inlineStr">
        <is>
          <t>Molecular thermodynamics of fluid-phase equilibria / John M. Prausnitz, Ruediger N. Lichtenthaler, Edmundo Gomes de Azevedo.</t>
        </is>
      </c>
      <c r="F1156" t="inlineStr">
        <is>
          <t>No</t>
        </is>
      </c>
      <c r="G1156" t="inlineStr">
        <is>
          <t>1</t>
        </is>
      </c>
      <c r="H1156" t="inlineStr">
        <is>
          <t>No</t>
        </is>
      </c>
      <c r="I1156" t="inlineStr">
        <is>
          <t>No</t>
        </is>
      </c>
      <c r="J1156" t="inlineStr">
        <is>
          <t>0</t>
        </is>
      </c>
      <c r="K1156" t="inlineStr">
        <is>
          <t>Prausnitz, J. M.</t>
        </is>
      </c>
      <c r="L1156" t="inlineStr">
        <is>
          <t>Englewood Cliffs, N.J. : Prentice-Hall, c1986.</t>
        </is>
      </c>
      <c r="M1156" t="inlineStr">
        <is>
          <t>1986</t>
        </is>
      </c>
      <c r="N1156" t="inlineStr">
        <is>
          <t>2nd ed.</t>
        </is>
      </c>
      <c r="O1156" t="inlineStr">
        <is>
          <t>eng</t>
        </is>
      </c>
      <c r="P1156" t="inlineStr">
        <is>
          <t>nju</t>
        </is>
      </c>
      <c r="Q1156" t="inlineStr">
        <is>
          <t>Prentice-Hall international series in the physical and chemical engineering sciences</t>
        </is>
      </c>
      <c r="R1156" t="inlineStr">
        <is>
          <t xml:space="preserve">QD </t>
        </is>
      </c>
      <c r="S1156" t="n">
        <v>9</v>
      </c>
      <c r="T1156" t="n">
        <v>9</v>
      </c>
      <c r="U1156" t="inlineStr">
        <is>
          <t>2003-03-10</t>
        </is>
      </c>
      <c r="V1156" t="inlineStr">
        <is>
          <t>2003-03-10</t>
        </is>
      </c>
      <c r="W1156" t="inlineStr">
        <is>
          <t>1990-08-15</t>
        </is>
      </c>
      <c r="X1156" t="inlineStr">
        <is>
          <t>1990-08-15</t>
        </is>
      </c>
      <c r="Y1156" t="n">
        <v>278</v>
      </c>
      <c r="Z1156" t="n">
        <v>189</v>
      </c>
      <c r="AA1156" t="n">
        <v>463</v>
      </c>
      <c r="AB1156" t="n">
        <v>2</v>
      </c>
      <c r="AC1156" t="n">
        <v>4</v>
      </c>
      <c r="AD1156" t="n">
        <v>5</v>
      </c>
      <c r="AE1156" t="n">
        <v>18</v>
      </c>
      <c r="AF1156" t="n">
        <v>0</v>
      </c>
      <c r="AG1156" t="n">
        <v>4</v>
      </c>
      <c r="AH1156" t="n">
        <v>3</v>
      </c>
      <c r="AI1156" t="n">
        <v>5</v>
      </c>
      <c r="AJ1156" t="n">
        <v>2</v>
      </c>
      <c r="AK1156" t="n">
        <v>12</v>
      </c>
      <c r="AL1156" t="n">
        <v>1</v>
      </c>
      <c r="AM1156" t="n">
        <v>3</v>
      </c>
      <c r="AN1156" t="n">
        <v>0</v>
      </c>
      <c r="AO1156" t="n">
        <v>0</v>
      </c>
      <c r="AP1156" t="inlineStr">
        <is>
          <t>No</t>
        </is>
      </c>
      <c r="AQ1156" t="inlineStr">
        <is>
          <t>No</t>
        </is>
      </c>
      <c r="AS1156">
        <f>HYPERLINK("https://creighton-primo.hosted.exlibrisgroup.com/primo-explore/search?tab=default_tab&amp;search_scope=EVERYTHING&amp;vid=01CRU&amp;lang=en_US&amp;offset=0&amp;query=any,contains,991000430299702656","Catalog Record")</f>
        <v/>
      </c>
      <c r="AT1156">
        <f>HYPERLINK("http://www.worldcat.org/oclc/10778449","WorldCat Record")</f>
        <v/>
      </c>
      <c r="AU1156" t="inlineStr">
        <is>
          <t>4923943211:eng</t>
        </is>
      </c>
      <c r="AV1156" t="inlineStr">
        <is>
          <t>10778449</t>
        </is>
      </c>
      <c r="AW1156" t="inlineStr">
        <is>
          <t>991000430299702656</t>
        </is>
      </c>
      <c r="AX1156" t="inlineStr">
        <is>
          <t>991000430299702656</t>
        </is>
      </c>
      <c r="AY1156" t="inlineStr">
        <is>
          <t>2268024760002656</t>
        </is>
      </c>
      <c r="AZ1156" t="inlineStr">
        <is>
          <t>BOOK</t>
        </is>
      </c>
      <c r="BB1156" t="inlineStr">
        <is>
          <t>9780135995648</t>
        </is>
      </c>
      <c r="BC1156" t="inlineStr">
        <is>
          <t>32285000269158</t>
        </is>
      </c>
      <c r="BD1156" t="inlineStr">
        <is>
          <t>893589435</t>
        </is>
      </c>
    </row>
    <row r="1157">
      <c r="A1157" t="inlineStr">
        <is>
          <t>No</t>
        </is>
      </c>
      <c r="B1157" t="inlineStr">
        <is>
          <t>QD504 .S43 2002</t>
        </is>
      </c>
      <c r="C1157" t="inlineStr">
        <is>
          <t>0                      QD 0504000S  43          2002</t>
        </is>
      </c>
      <c r="D1157" t="inlineStr">
        <is>
          <t>Thermodynamics and statistical mechanics / John M. Seddon &amp; Julian D. Gale.</t>
        </is>
      </c>
      <c r="F1157" t="inlineStr">
        <is>
          <t>No</t>
        </is>
      </c>
      <c r="G1157" t="inlineStr">
        <is>
          <t>1</t>
        </is>
      </c>
      <c r="H1157" t="inlineStr">
        <is>
          <t>No</t>
        </is>
      </c>
      <c r="I1157" t="inlineStr">
        <is>
          <t>No</t>
        </is>
      </c>
      <c r="J1157" t="inlineStr">
        <is>
          <t>0</t>
        </is>
      </c>
      <c r="K1157" t="inlineStr">
        <is>
          <t>Seddon, John M.</t>
        </is>
      </c>
      <c r="L1157" t="inlineStr">
        <is>
          <t>New York : Wiley-Interscience, c2002.</t>
        </is>
      </c>
      <c r="M1157" t="inlineStr">
        <is>
          <t>2002</t>
        </is>
      </c>
      <c r="O1157" t="inlineStr">
        <is>
          <t>eng</t>
        </is>
      </c>
      <c r="P1157" t="inlineStr">
        <is>
          <t>nyu</t>
        </is>
      </c>
      <c r="Q1157" t="inlineStr">
        <is>
          <t>Basic concepts in chemistry</t>
        </is>
      </c>
      <c r="R1157" t="inlineStr">
        <is>
          <t xml:space="preserve">QD </t>
        </is>
      </c>
      <c r="S1157" t="n">
        <v>3</v>
      </c>
      <c r="T1157" t="n">
        <v>3</v>
      </c>
      <c r="U1157" t="inlineStr">
        <is>
          <t>2004-08-31</t>
        </is>
      </c>
      <c r="V1157" t="inlineStr">
        <is>
          <t>2004-08-31</t>
        </is>
      </c>
      <c r="W1157" t="inlineStr">
        <is>
          <t>2003-11-17</t>
        </is>
      </c>
      <c r="X1157" t="inlineStr">
        <is>
          <t>2003-11-17</t>
        </is>
      </c>
      <c r="Y1157" t="n">
        <v>186</v>
      </c>
      <c r="Z1157" t="n">
        <v>135</v>
      </c>
      <c r="AA1157" t="n">
        <v>224</v>
      </c>
      <c r="AB1157" t="n">
        <v>1</v>
      </c>
      <c r="AC1157" t="n">
        <v>2</v>
      </c>
      <c r="AD1157" t="n">
        <v>2</v>
      </c>
      <c r="AE1157" t="n">
        <v>7</v>
      </c>
      <c r="AF1157" t="n">
        <v>0</v>
      </c>
      <c r="AG1157" t="n">
        <v>2</v>
      </c>
      <c r="AH1157" t="n">
        <v>0</v>
      </c>
      <c r="AI1157" t="n">
        <v>1</v>
      </c>
      <c r="AJ1157" t="n">
        <v>2</v>
      </c>
      <c r="AK1157" t="n">
        <v>4</v>
      </c>
      <c r="AL1157" t="n">
        <v>0</v>
      </c>
      <c r="AM1157" t="n">
        <v>1</v>
      </c>
      <c r="AN1157" t="n">
        <v>0</v>
      </c>
      <c r="AO1157" t="n">
        <v>0</v>
      </c>
      <c r="AP1157" t="inlineStr">
        <is>
          <t>No</t>
        </is>
      </c>
      <c r="AQ1157" t="inlineStr">
        <is>
          <t>Yes</t>
        </is>
      </c>
      <c r="AR1157">
        <f>HYPERLINK("http://catalog.hathitrust.org/Record/009464442","HathiTrust Record")</f>
        <v/>
      </c>
      <c r="AS1157">
        <f>HYPERLINK("https://creighton-primo.hosted.exlibrisgroup.com/primo-explore/search?tab=default_tab&amp;search_scope=EVERYTHING&amp;vid=01CRU&amp;lang=en_US&amp;offset=0&amp;query=any,contains,991004183239702656","Catalog Record")</f>
        <v/>
      </c>
      <c r="AT1157">
        <f>HYPERLINK("http://www.worldcat.org/oclc/51498373","WorldCat Record")</f>
        <v/>
      </c>
      <c r="AU1157" t="inlineStr">
        <is>
          <t>8851309:eng</t>
        </is>
      </c>
      <c r="AV1157" t="inlineStr">
        <is>
          <t>51498373</t>
        </is>
      </c>
      <c r="AW1157" t="inlineStr">
        <is>
          <t>991004183239702656</t>
        </is>
      </c>
      <c r="AX1157" t="inlineStr">
        <is>
          <t>991004183239702656</t>
        </is>
      </c>
      <c r="AY1157" t="inlineStr">
        <is>
          <t>2268335090002656</t>
        </is>
      </c>
      <c r="AZ1157" t="inlineStr">
        <is>
          <t>BOOK</t>
        </is>
      </c>
      <c r="BB1157" t="inlineStr">
        <is>
          <t>9780471281658</t>
        </is>
      </c>
      <c r="BC1157" t="inlineStr">
        <is>
          <t>32285004798798</t>
        </is>
      </c>
      <c r="BD1157" t="inlineStr">
        <is>
          <t>893599529</t>
        </is>
      </c>
    </row>
    <row r="1158">
      <c r="A1158" t="inlineStr">
        <is>
          <t>No</t>
        </is>
      </c>
      <c r="B1158" t="inlineStr">
        <is>
          <t>QD504 .S57 2004</t>
        </is>
      </c>
      <c r="C1158" t="inlineStr">
        <is>
          <t>0                      QD 0504000S  57          2004</t>
        </is>
      </c>
      <c r="D1158" t="inlineStr">
        <is>
          <t>Basic chemical thermodynamics / E. Brian Smith.</t>
        </is>
      </c>
      <c r="F1158" t="inlineStr">
        <is>
          <t>No</t>
        </is>
      </c>
      <c r="G1158" t="inlineStr">
        <is>
          <t>1</t>
        </is>
      </c>
      <c r="H1158" t="inlineStr">
        <is>
          <t>No</t>
        </is>
      </c>
      <c r="I1158" t="inlineStr">
        <is>
          <t>No</t>
        </is>
      </c>
      <c r="J1158" t="inlineStr">
        <is>
          <t>0</t>
        </is>
      </c>
      <c r="K1158" t="inlineStr">
        <is>
          <t>Smith, E. Brian (Eric Brian), 1933-</t>
        </is>
      </c>
      <c r="L1158" t="inlineStr">
        <is>
          <t>London : Imperial College Press, 2004.</t>
        </is>
      </c>
      <c r="M1158" t="inlineStr">
        <is>
          <t>2004</t>
        </is>
      </c>
      <c r="N1158" t="inlineStr">
        <is>
          <t>5th ed.</t>
        </is>
      </c>
      <c r="O1158" t="inlineStr">
        <is>
          <t>eng</t>
        </is>
      </c>
      <c r="P1158" t="inlineStr">
        <is>
          <t>enk</t>
        </is>
      </c>
      <c r="R1158" t="inlineStr">
        <is>
          <t xml:space="preserve">QD </t>
        </is>
      </c>
      <c r="S1158" t="n">
        <v>3</v>
      </c>
      <c r="T1158" t="n">
        <v>3</v>
      </c>
      <c r="U1158" t="inlineStr">
        <is>
          <t>2008-02-13</t>
        </is>
      </c>
      <c r="V1158" t="inlineStr">
        <is>
          <t>2008-02-13</t>
        </is>
      </c>
      <c r="W1158" t="inlineStr">
        <is>
          <t>2005-01-10</t>
        </is>
      </c>
      <c r="X1158" t="inlineStr">
        <is>
          <t>2005-01-10</t>
        </is>
      </c>
      <c r="Y1158" t="n">
        <v>382</v>
      </c>
      <c r="Z1158" t="n">
        <v>259</v>
      </c>
      <c r="AA1158" t="n">
        <v>718</v>
      </c>
      <c r="AB1158" t="n">
        <v>3</v>
      </c>
      <c r="AC1158" t="n">
        <v>4</v>
      </c>
      <c r="AD1158" t="n">
        <v>14</v>
      </c>
      <c r="AE1158" t="n">
        <v>29</v>
      </c>
      <c r="AF1158" t="n">
        <v>4</v>
      </c>
      <c r="AG1158" t="n">
        <v>11</v>
      </c>
      <c r="AH1158" t="n">
        <v>4</v>
      </c>
      <c r="AI1158" t="n">
        <v>6</v>
      </c>
      <c r="AJ1158" t="n">
        <v>8</v>
      </c>
      <c r="AK1158" t="n">
        <v>15</v>
      </c>
      <c r="AL1158" t="n">
        <v>2</v>
      </c>
      <c r="AM1158" t="n">
        <v>3</v>
      </c>
      <c r="AN1158" t="n">
        <v>0</v>
      </c>
      <c r="AO1158" t="n">
        <v>0</v>
      </c>
      <c r="AP1158" t="inlineStr">
        <is>
          <t>No</t>
        </is>
      </c>
      <c r="AQ1158" t="inlineStr">
        <is>
          <t>No</t>
        </is>
      </c>
      <c r="AS1158">
        <f>HYPERLINK("https://creighton-primo.hosted.exlibrisgroup.com/primo-explore/search?tab=default_tab&amp;search_scope=EVERYTHING&amp;vid=01CRU&amp;lang=en_US&amp;offset=0&amp;query=any,contains,991004436719702656","Catalog Record")</f>
        <v/>
      </c>
      <c r="AT1158">
        <f>HYPERLINK("http://www.worldcat.org/oclc/55692889","WorldCat Record")</f>
        <v/>
      </c>
      <c r="AU1158" t="inlineStr">
        <is>
          <t>416349:eng</t>
        </is>
      </c>
      <c r="AV1158" t="inlineStr">
        <is>
          <t>55692889</t>
        </is>
      </c>
      <c r="AW1158" t="inlineStr">
        <is>
          <t>991004436719702656</t>
        </is>
      </c>
      <c r="AX1158" t="inlineStr">
        <is>
          <t>991004436719702656</t>
        </is>
      </c>
      <c r="AY1158" t="inlineStr">
        <is>
          <t>2270730510002656</t>
        </is>
      </c>
      <c r="AZ1158" t="inlineStr">
        <is>
          <t>BOOK</t>
        </is>
      </c>
      <c r="BB1158" t="inlineStr">
        <is>
          <t>9781860944451</t>
        </is>
      </c>
      <c r="BC1158" t="inlineStr">
        <is>
          <t>32285005020424</t>
        </is>
      </c>
      <c r="BD1158" t="inlineStr">
        <is>
          <t>893606032</t>
        </is>
      </c>
    </row>
    <row r="1159">
      <c r="A1159" t="inlineStr">
        <is>
          <t>No</t>
        </is>
      </c>
      <c r="B1159" t="inlineStr">
        <is>
          <t>QD504 .W47 1991</t>
        </is>
      </c>
      <c r="C1159" t="inlineStr">
        <is>
          <t>0                      QD 0504000W  47          1991</t>
        </is>
      </c>
      <c r="D1159" t="inlineStr">
        <is>
          <t>Molecular thermodynamics : a statistical approach / James W. Whalen.</t>
        </is>
      </c>
      <c r="F1159" t="inlineStr">
        <is>
          <t>No</t>
        </is>
      </c>
      <c r="G1159" t="inlineStr">
        <is>
          <t>1</t>
        </is>
      </c>
      <c r="H1159" t="inlineStr">
        <is>
          <t>No</t>
        </is>
      </c>
      <c r="I1159" t="inlineStr">
        <is>
          <t>No</t>
        </is>
      </c>
      <c r="J1159" t="inlineStr">
        <is>
          <t>0</t>
        </is>
      </c>
      <c r="K1159" t="inlineStr">
        <is>
          <t>Whalen, James W.</t>
        </is>
      </c>
      <c r="L1159" t="inlineStr">
        <is>
          <t>New York : Wiley, c1991.</t>
        </is>
      </c>
      <c r="M1159" t="inlineStr">
        <is>
          <t>1991</t>
        </is>
      </c>
      <c r="O1159" t="inlineStr">
        <is>
          <t>eng</t>
        </is>
      </c>
      <c r="P1159" t="inlineStr">
        <is>
          <t>nyu</t>
        </is>
      </c>
      <c r="R1159" t="inlineStr">
        <is>
          <t xml:space="preserve">QD </t>
        </is>
      </c>
      <c r="S1159" t="n">
        <v>6</v>
      </c>
      <c r="T1159" t="n">
        <v>6</v>
      </c>
      <c r="U1159" t="inlineStr">
        <is>
          <t>1993-04-26</t>
        </is>
      </c>
      <c r="V1159" t="inlineStr">
        <is>
          <t>1993-04-26</t>
        </is>
      </c>
      <c r="W1159" t="inlineStr">
        <is>
          <t>1992-03-31</t>
        </is>
      </c>
      <c r="X1159" t="inlineStr">
        <is>
          <t>1992-03-31</t>
        </is>
      </c>
      <c r="Y1159" t="n">
        <v>382</v>
      </c>
      <c r="Z1159" t="n">
        <v>296</v>
      </c>
      <c r="AA1159" t="n">
        <v>297</v>
      </c>
      <c r="AB1159" t="n">
        <v>3</v>
      </c>
      <c r="AC1159" t="n">
        <v>3</v>
      </c>
      <c r="AD1159" t="n">
        <v>13</v>
      </c>
      <c r="AE1159" t="n">
        <v>13</v>
      </c>
      <c r="AF1159" t="n">
        <v>3</v>
      </c>
      <c r="AG1159" t="n">
        <v>3</v>
      </c>
      <c r="AH1159" t="n">
        <v>3</v>
      </c>
      <c r="AI1159" t="n">
        <v>3</v>
      </c>
      <c r="AJ1159" t="n">
        <v>8</v>
      </c>
      <c r="AK1159" t="n">
        <v>8</v>
      </c>
      <c r="AL1159" t="n">
        <v>2</v>
      </c>
      <c r="AM1159" t="n">
        <v>2</v>
      </c>
      <c r="AN1159" t="n">
        <v>0</v>
      </c>
      <c r="AO1159" t="n">
        <v>0</v>
      </c>
      <c r="AP1159" t="inlineStr">
        <is>
          <t>No</t>
        </is>
      </c>
      <c r="AQ1159" t="inlineStr">
        <is>
          <t>Yes</t>
        </is>
      </c>
      <c r="AR1159">
        <f>HYPERLINK("http://catalog.hathitrust.org/Record/002546446","HathiTrust Record")</f>
        <v/>
      </c>
      <c r="AS1159">
        <f>HYPERLINK("https://creighton-primo.hosted.exlibrisgroup.com/primo-explore/search?tab=default_tab&amp;search_scope=EVERYTHING&amp;vid=01CRU&amp;lang=en_US&amp;offset=0&amp;query=any,contains,991001720929702656","Catalog Record")</f>
        <v/>
      </c>
      <c r="AT1159">
        <f>HYPERLINK("http://www.worldcat.org/oclc/21763764","WorldCat Record")</f>
        <v/>
      </c>
      <c r="AU1159" t="inlineStr">
        <is>
          <t>889865468:eng</t>
        </is>
      </c>
      <c r="AV1159" t="inlineStr">
        <is>
          <t>21763764</t>
        </is>
      </c>
      <c r="AW1159" t="inlineStr">
        <is>
          <t>991001720929702656</t>
        </is>
      </c>
      <c r="AX1159" t="inlineStr">
        <is>
          <t>991001720929702656</t>
        </is>
      </c>
      <c r="AY1159" t="inlineStr">
        <is>
          <t>2255715920002656</t>
        </is>
      </c>
      <c r="AZ1159" t="inlineStr">
        <is>
          <t>BOOK</t>
        </is>
      </c>
      <c r="BB1159" t="inlineStr">
        <is>
          <t>9780471514787</t>
        </is>
      </c>
      <c r="BC1159" t="inlineStr">
        <is>
          <t>32285001007490</t>
        </is>
      </c>
      <c r="BD1159" t="inlineStr">
        <is>
          <t>893328322</t>
        </is>
      </c>
    </row>
    <row r="1160">
      <c r="A1160" t="inlineStr">
        <is>
          <t>No</t>
        </is>
      </c>
      <c r="B1160" t="inlineStr">
        <is>
          <t>QD504 .W66 1990</t>
        </is>
      </c>
      <c r="C1160" t="inlineStr">
        <is>
          <t>0                      QD 0504000W  66          1990</t>
        </is>
      </c>
      <c r="D1160" t="inlineStr">
        <is>
          <t>Thermodynamics of chemical systems / Scott E. Wood, Rubin Battino.</t>
        </is>
      </c>
      <c r="F1160" t="inlineStr">
        <is>
          <t>No</t>
        </is>
      </c>
      <c r="G1160" t="inlineStr">
        <is>
          <t>1</t>
        </is>
      </c>
      <c r="H1160" t="inlineStr">
        <is>
          <t>No</t>
        </is>
      </c>
      <c r="I1160" t="inlineStr">
        <is>
          <t>No</t>
        </is>
      </c>
      <c r="J1160" t="inlineStr">
        <is>
          <t>0</t>
        </is>
      </c>
      <c r="K1160" t="inlineStr">
        <is>
          <t>Wood, Scott E. (Scott Emerson), 1910-</t>
        </is>
      </c>
      <c r="L1160" t="inlineStr">
        <is>
          <t>Cambridge [England] ; New York : Cambridge University Press, 1990.</t>
        </is>
      </c>
      <c r="M1160" t="inlineStr">
        <is>
          <t>1990</t>
        </is>
      </c>
      <c r="O1160" t="inlineStr">
        <is>
          <t>eng</t>
        </is>
      </c>
      <c r="P1160" t="inlineStr">
        <is>
          <t>enk</t>
        </is>
      </c>
      <c r="R1160" t="inlineStr">
        <is>
          <t xml:space="preserve">QD </t>
        </is>
      </c>
      <c r="S1160" t="n">
        <v>3</v>
      </c>
      <c r="T1160" t="n">
        <v>3</v>
      </c>
      <c r="U1160" t="inlineStr">
        <is>
          <t>1993-04-22</t>
        </is>
      </c>
      <c r="V1160" t="inlineStr">
        <is>
          <t>1993-04-22</t>
        </is>
      </c>
      <c r="W1160" t="inlineStr">
        <is>
          <t>1991-02-14</t>
        </is>
      </c>
      <c r="X1160" t="inlineStr">
        <is>
          <t>1991-02-14</t>
        </is>
      </c>
      <c r="Y1160" t="n">
        <v>258</v>
      </c>
      <c r="Z1160" t="n">
        <v>171</v>
      </c>
      <c r="AA1160" t="n">
        <v>195</v>
      </c>
      <c r="AB1160" t="n">
        <v>3</v>
      </c>
      <c r="AC1160" t="n">
        <v>3</v>
      </c>
      <c r="AD1160" t="n">
        <v>9</v>
      </c>
      <c r="AE1160" t="n">
        <v>9</v>
      </c>
      <c r="AF1160" t="n">
        <v>1</v>
      </c>
      <c r="AG1160" t="n">
        <v>1</v>
      </c>
      <c r="AH1160" t="n">
        <v>3</v>
      </c>
      <c r="AI1160" t="n">
        <v>3</v>
      </c>
      <c r="AJ1160" t="n">
        <v>5</v>
      </c>
      <c r="AK1160" t="n">
        <v>5</v>
      </c>
      <c r="AL1160" t="n">
        <v>2</v>
      </c>
      <c r="AM1160" t="n">
        <v>2</v>
      </c>
      <c r="AN1160" t="n">
        <v>0</v>
      </c>
      <c r="AO1160" t="n">
        <v>0</v>
      </c>
      <c r="AP1160" t="inlineStr">
        <is>
          <t>No</t>
        </is>
      </c>
      <c r="AQ1160" t="inlineStr">
        <is>
          <t>No</t>
        </is>
      </c>
      <c r="AS1160">
        <f>HYPERLINK("https://creighton-primo.hosted.exlibrisgroup.com/primo-explore/search?tab=default_tab&amp;search_scope=EVERYTHING&amp;vid=01CRU&amp;lang=en_US&amp;offset=0&amp;query=any,contains,991001477909702656","Catalog Record")</f>
        <v/>
      </c>
      <c r="AT1160">
        <f>HYPERLINK("http://www.worldcat.org/oclc/19589550","WorldCat Record")</f>
        <v/>
      </c>
      <c r="AU1160" t="inlineStr">
        <is>
          <t>21786093:eng</t>
        </is>
      </c>
      <c r="AV1160" t="inlineStr">
        <is>
          <t>19589550</t>
        </is>
      </c>
      <c r="AW1160" t="inlineStr">
        <is>
          <t>991001477909702656</t>
        </is>
      </c>
      <c r="AX1160" t="inlineStr">
        <is>
          <t>991001477909702656</t>
        </is>
      </c>
      <c r="AY1160" t="inlineStr">
        <is>
          <t>2263921410002656</t>
        </is>
      </c>
      <c r="AZ1160" t="inlineStr">
        <is>
          <t>BOOK</t>
        </is>
      </c>
      <c r="BB1160" t="inlineStr">
        <is>
          <t>9780521330411</t>
        </is>
      </c>
      <c r="BC1160" t="inlineStr">
        <is>
          <t>32285000464791</t>
        </is>
      </c>
      <c r="BD1160" t="inlineStr">
        <is>
          <t>893809079</t>
        </is>
      </c>
    </row>
    <row r="1161">
      <c r="A1161" t="inlineStr">
        <is>
          <t>No</t>
        </is>
      </c>
      <c r="B1161" t="inlineStr">
        <is>
          <t>QD505 .C474 2003</t>
        </is>
      </c>
      <c r="C1161" t="inlineStr">
        <is>
          <t>0                      QD 0505000C  474         2003</t>
        </is>
      </c>
      <c r="D1161" t="inlineStr">
        <is>
          <t>Concepts of modern catalysis and kinetics / I. Chorkendorff, J.W. Niemantsverdriet.</t>
        </is>
      </c>
      <c r="F1161" t="inlineStr">
        <is>
          <t>No</t>
        </is>
      </c>
      <c r="G1161" t="inlineStr">
        <is>
          <t>1</t>
        </is>
      </c>
      <c r="H1161" t="inlineStr">
        <is>
          <t>No</t>
        </is>
      </c>
      <c r="I1161" t="inlineStr">
        <is>
          <t>No</t>
        </is>
      </c>
      <c r="J1161" t="inlineStr">
        <is>
          <t>0</t>
        </is>
      </c>
      <c r="K1161" t="inlineStr">
        <is>
          <t>Chorkendorff, I. (Ib), 1955-</t>
        </is>
      </c>
      <c r="L1161" t="inlineStr">
        <is>
          <t>Weinheim [Germany] : Wiley-VCH, c2003.</t>
        </is>
      </c>
      <c r="M1161" t="inlineStr">
        <is>
          <t>2003</t>
        </is>
      </c>
      <c r="O1161" t="inlineStr">
        <is>
          <t>eng</t>
        </is>
      </c>
      <c r="P1161" t="inlineStr">
        <is>
          <t xml:space="preserve">gw </t>
        </is>
      </c>
      <c r="R1161" t="inlineStr">
        <is>
          <t xml:space="preserve">QD </t>
        </is>
      </c>
      <c r="S1161" t="n">
        <v>1</v>
      </c>
      <c r="T1161" t="n">
        <v>1</v>
      </c>
      <c r="U1161" t="inlineStr">
        <is>
          <t>2007-04-18</t>
        </is>
      </c>
      <c r="V1161" t="inlineStr">
        <is>
          <t>2007-04-18</t>
        </is>
      </c>
      <c r="W1161" t="inlineStr">
        <is>
          <t>2007-04-18</t>
        </is>
      </c>
      <c r="X1161" t="inlineStr">
        <is>
          <t>2007-04-18</t>
        </is>
      </c>
      <c r="Y1161" t="n">
        <v>317</v>
      </c>
      <c r="Z1161" t="n">
        <v>207</v>
      </c>
      <c r="AA1161" t="n">
        <v>318</v>
      </c>
      <c r="AB1161" t="n">
        <v>2</v>
      </c>
      <c r="AC1161" t="n">
        <v>2</v>
      </c>
      <c r="AD1161" t="n">
        <v>12</v>
      </c>
      <c r="AE1161" t="n">
        <v>16</v>
      </c>
      <c r="AF1161" t="n">
        <v>6</v>
      </c>
      <c r="AG1161" t="n">
        <v>6</v>
      </c>
      <c r="AH1161" t="n">
        <v>2</v>
      </c>
      <c r="AI1161" t="n">
        <v>3</v>
      </c>
      <c r="AJ1161" t="n">
        <v>8</v>
      </c>
      <c r="AK1161" t="n">
        <v>11</v>
      </c>
      <c r="AL1161" t="n">
        <v>1</v>
      </c>
      <c r="AM1161" t="n">
        <v>1</v>
      </c>
      <c r="AN1161" t="n">
        <v>0</v>
      </c>
      <c r="AO1161" t="n">
        <v>0</v>
      </c>
      <c r="AP1161" t="inlineStr">
        <is>
          <t>No</t>
        </is>
      </c>
      <c r="AQ1161" t="inlineStr">
        <is>
          <t>Yes</t>
        </is>
      </c>
      <c r="AR1161">
        <f>HYPERLINK("http://catalog.hathitrust.org/Record/004355241","HathiTrust Record")</f>
        <v/>
      </c>
      <c r="AS1161">
        <f>HYPERLINK("https://creighton-primo.hosted.exlibrisgroup.com/primo-explore/search?tab=default_tab&amp;search_scope=EVERYTHING&amp;vid=01CRU&amp;lang=en_US&amp;offset=0&amp;query=any,contains,991005046649702656","Catalog Record")</f>
        <v/>
      </c>
      <c r="AT1161">
        <f>HYPERLINK("http://www.worldcat.org/oclc/51862977","WorldCat Record")</f>
        <v/>
      </c>
      <c r="AU1161" t="inlineStr">
        <is>
          <t>831909:eng</t>
        </is>
      </c>
      <c r="AV1161" t="inlineStr">
        <is>
          <t>51862977</t>
        </is>
      </c>
      <c r="AW1161" t="inlineStr">
        <is>
          <t>991005046649702656</t>
        </is>
      </c>
      <c r="AX1161" t="inlineStr">
        <is>
          <t>991005046649702656</t>
        </is>
      </c>
      <c r="AY1161" t="inlineStr">
        <is>
          <t>2268775950002656</t>
        </is>
      </c>
      <c r="AZ1161" t="inlineStr">
        <is>
          <t>BOOK</t>
        </is>
      </c>
      <c r="BB1161" t="inlineStr">
        <is>
          <t>9783527305742</t>
        </is>
      </c>
      <c r="BC1161" t="inlineStr">
        <is>
          <t>32285005287999</t>
        </is>
      </c>
      <c r="BD1161" t="inlineStr">
        <is>
          <t>893889598</t>
        </is>
      </c>
    </row>
    <row r="1162">
      <c r="A1162" t="inlineStr">
        <is>
          <t>No</t>
        </is>
      </c>
      <c r="B1162" t="inlineStr">
        <is>
          <t>QD505 .N474 2007</t>
        </is>
      </c>
      <c r="C1162" t="inlineStr">
        <is>
          <t>0                      QD 0505000N  474         2007</t>
        </is>
      </c>
      <c r="D1162" t="inlineStr">
        <is>
          <t>New frontiers in asymmetric catalysis / edited by Koichi Mikami, Mark Lautens.</t>
        </is>
      </c>
      <c r="F1162" t="inlineStr">
        <is>
          <t>No</t>
        </is>
      </c>
      <c r="G1162" t="inlineStr">
        <is>
          <t>1</t>
        </is>
      </c>
      <c r="H1162" t="inlineStr">
        <is>
          <t>No</t>
        </is>
      </c>
      <c r="I1162" t="inlineStr">
        <is>
          <t>No</t>
        </is>
      </c>
      <c r="J1162" t="inlineStr">
        <is>
          <t>0</t>
        </is>
      </c>
      <c r="L1162" t="inlineStr">
        <is>
          <t>Hoboken, N.J. : Wiley-Interscience, c2007.</t>
        </is>
      </c>
      <c r="M1162" t="inlineStr">
        <is>
          <t>2007</t>
        </is>
      </c>
      <c r="O1162" t="inlineStr">
        <is>
          <t>eng</t>
        </is>
      </c>
      <c r="P1162" t="inlineStr">
        <is>
          <t>nju</t>
        </is>
      </c>
      <c r="R1162" t="inlineStr">
        <is>
          <t xml:space="preserve">QD </t>
        </is>
      </c>
      <c r="S1162" t="n">
        <v>1</v>
      </c>
      <c r="T1162" t="n">
        <v>1</v>
      </c>
      <c r="U1162" t="inlineStr">
        <is>
          <t>2007-07-17</t>
        </is>
      </c>
      <c r="V1162" t="inlineStr">
        <is>
          <t>2007-07-17</t>
        </is>
      </c>
      <c r="W1162" t="inlineStr">
        <is>
          <t>2007-07-17</t>
        </is>
      </c>
      <c r="X1162" t="inlineStr">
        <is>
          <t>2007-07-17</t>
        </is>
      </c>
      <c r="Y1162" t="n">
        <v>191</v>
      </c>
      <c r="Z1162" t="n">
        <v>125</v>
      </c>
      <c r="AA1162" t="n">
        <v>197</v>
      </c>
      <c r="AB1162" t="n">
        <v>2</v>
      </c>
      <c r="AC1162" t="n">
        <v>3</v>
      </c>
      <c r="AD1162" t="n">
        <v>6</v>
      </c>
      <c r="AE1162" t="n">
        <v>7</v>
      </c>
      <c r="AF1162" t="n">
        <v>1</v>
      </c>
      <c r="AG1162" t="n">
        <v>1</v>
      </c>
      <c r="AH1162" t="n">
        <v>1</v>
      </c>
      <c r="AI1162" t="n">
        <v>1</v>
      </c>
      <c r="AJ1162" t="n">
        <v>4</v>
      </c>
      <c r="AK1162" t="n">
        <v>4</v>
      </c>
      <c r="AL1162" t="n">
        <v>1</v>
      </c>
      <c r="AM1162" t="n">
        <v>2</v>
      </c>
      <c r="AN1162" t="n">
        <v>0</v>
      </c>
      <c r="AO1162" t="n">
        <v>0</v>
      </c>
      <c r="AP1162" t="inlineStr">
        <is>
          <t>No</t>
        </is>
      </c>
      <c r="AQ1162" t="inlineStr">
        <is>
          <t>No</t>
        </is>
      </c>
      <c r="AS1162">
        <f>HYPERLINK("https://creighton-primo.hosted.exlibrisgroup.com/primo-explore/search?tab=default_tab&amp;search_scope=EVERYTHING&amp;vid=01CRU&amp;lang=en_US&amp;offset=0&amp;query=any,contains,991005097099702656","Catalog Record")</f>
        <v/>
      </c>
      <c r="AT1162">
        <f>HYPERLINK("http://www.worldcat.org/oclc/70219841","WorldCat Record")</f>
        <v/>
      </c>
      <c r="AU1162" t="inlineStr">
        <is>
          <t>864085197:eng</t>
        </is>
      </c>
      <c r="AV1162" t="inlineStr">
        <is>
          <t>70219841</t>
        </is>
      </c>
      <c r="AW1162" t="inlineStr">
        <is>
          <t>991005097099702656</t>
        </is>
      </c>
      <c r="AX1162" t="inlineStr">
        <is>
          <t>991005097099702656</t>
        </is>
      </c>
      <c r="AY1162" t="inlineStr">
        <is>
          <t>2257684280002656</t>
        </is>
      </c>
      <c r="AZ1162" t="inlineStr">
        <is>
          <t>BOOK</t>
        </is>
      </c>
      <c r="BB1162" t="inlineStr">
        <is>
          <t>9780471680260</t>
        </is>
      </c>
      <c r="BC1162" t="inlineStr">
        <is>
          <t>32285005319909</t>
        </is>
      </c>
      <c r="BD1162" t="inlineStr">
        <is>
          <t>893594465</t>
        </is>
      </c>
    </row>
    <row r="1163">
      <c r="A1163" t="inlineStr">
        <is>
          <t>No</t>
        </is>
      </c>
      <c r="B1163" t="inlineStr">
        <is>
          <t>QD505 .P37</t>
        </is>
      </c>
      <c r="C1163" t="inlineStr">
        <is>
          <t>0                      QD 0505000P  37</t>
        </is>
      </c>
      <c r="D1163" t="inlineStr">
        <is>
          <t>Homogeneous catalysis : the applications and chemistry of catalysis by soluble transition metal complexes / George W. Parshall.</t>
        </is>
      </c>
      <c r="F1163" t="inlineStr">
        <is>
          <t>No</t>
        </is>
      </c>
      <c r="G1163" t="inlineStr">
        <is>
          <t>1</t>
        </is>
      </c>
      <c r="H1163" t="inlineStr">
        <is>
          <t>No</t>
        </is>
      </c>
      <c r="I1163" t="inlineStr">
        <is>
          <t>No</t>
        </is>
      </c>
      <c r="J1163" t="inlineStr">
        <is>
          <t>0</t>
        </is>
      </c>
      <c r="K1163" t="inlineStr">
        <is>
          <t>Parshall, George William, 1929-</t>
        </is>
      </c>
      <c r="L1163" t="inlineStr">
        <is>
          <t>New York : Wiley, c1980.</t>
        </is>
      </c>
      <c r="M1163" t="inlineStr">
        <is>
          <t>1980</t>
        </is>
      </c>
      <c r="O1163" t="inlineStr">
        <is>
          <t>eng</t>
        </is>
      </c>
      <c r="P1163" t="inlineStr">
        <is>
          <t>nyu</t>
        </is>
      </c>
      <c r="R1163" t="inlineStr">
        <is>
          <t xml:space="preserve">QD </t>
        </is>
      </c>
      <c r="S1163" t="n">
        <v>3</v>
      </c>
      <c r="T1163" t="n">
        <v>3</v>
      </c>
      <c r="U1163" t="inlineStr">
        <is>
          <t>1992-04-23</t>
        </is>
      </c>
      <c r="V1163" t="inlineStr">
        <is>
          <t>1992-04-23</t>
        </is>
      </c>
      <c r="W1163" t="inlineStr">
        <is>
          <t>1990-08-15</t>
        </is>
      </c>
      <c r="X1163" t="inlineStr">
        <is>
          <t>1990-08-15</t>
        </is>
      </c>
      <c r="Y1163" t="n">
        <v>522</v>
      </c>
      <c r="Z1163" t="n">
        <v>389</v>
      </c>
      <c r="AA1163" t="n">
        <v>520</v>
      </c>
      <c r="AB1163" t="n">
        <v>5</v>
      </c>
      <c r="AC1163" t="n">
        <v>6</v>
      </c>
      <c r="AD1163" t="n">
        <v>16</v>
      </c>
      <c r="AE1163" t="n">
        <v>27</v>
      </c>
      <c r="AF1163" t="n">
        <v>5</v>
      </c>
      <c r="AG1163" t="n">
        <v>10</v>
      </c>
      <c r="AH1163" t="n">
        <v>5</v>
      </c>
      <c r="AI1163" t="n">
        <v>8</v>
      </c>
      <c r="AJ1163" t="n">
        <v>6</v>
      </c>
      <c r="AK1163" t="n">
        <v>11</v>
      </c>
      <c r="AL1163" t="n">
        <v>4</v>
      </c>
      <c r="AM1163" t="n">
        <v>5</v>
      </c>
      <c r="AN1163" t="n">
        <v>0</v>
      </c>
      <c r="AO1163" t="n">
        <v>0</v>
      </c>
      <c r="AP1163" t="inlineStr">
        <is>
          <t>No</t>
        </is>
      </c>
      <c r="AQ1163" t="inlineStr">
        <is>
          <t>Yes</t>
        </is>
      </c>
      <c r="AR1163">
        <f>HYPERLINK("http://catalog.hathitrust.org/Record/000718246","HathiTrust Record")</f>
        <v/>
      </c>
      <c r="AS1163">
        <f>HYPERLINK("https://creighton-primo.hosted.exlibrisgroup.com/primo-explore/search?tab=default_tab&amp;search_scope=EVERYTHING&amp;vid=01CRU&amp;lang=en_US&amp;offset=0&amp;query=any,contains,991004896839702656","Catalog Record")</f>
        <v/>
      </c>
      <c r="AT1163">
        <f>HYPERLINK("http://www.worldcat.org/oclc/5894401","WorldCat Record")</f>
        <v/>
      </c>
      <c r="AU1163" t="inlineStr">
        <is>
          <t>806625791:eng</t>
        </is>
      </c>
      <c r="AV1163" t="inlineStr">
        <is>
          <t>5894401</t>
        </is>
      </c>
      <c r="AW1163" t="inlineStr">
        <is>
          <t>991004896839702656</t>
        </is>
      </c>
      <c r="AX1163" t="inlineStr">
        <is>
          <t>991004896839702656</t>
        </is>
      </c>
      <c r="AY1163" t="inlineStr">
        <is>
          <t>2264325720002656</t>
        </is>
      </c>
      <c r="AZ1163" t="inlineStr">
        <is>
          <t>BOOK</t>
        </is>
      </c>
      <c r="BB1163" t="inlineStr">
        <is>
          <t>9780471045526</t>
        </is>
      </c>
      <c r="BC1163" t="inlineStr">
        <is>
          <t>32285000269174</t>
        </is>
      </c>
      <c r="BD1163" t="inlineStr">
        <is>
          <t>893443161</t>
        </is>
      </c>
    </row>
    <row r="1164">
      <c r="A1164" t="inlineStr">
        <is>
          <t>No</t>
        </is>
      </c>
      <c r="B1164" t="inlineStr">
        <is>
          <t>QD505 .P57</t>
        </is>
      </c>
      <c r="C1164" t="inlineStr">
        <is>
          <t>0                      QD 0505000P  57</t>
        </is>
      </c>
      <c r="D1164" t="inlineStr">
        <is>
          <t>Kinetics of chemical and enzyme-catalyzed reactions / Dennis Piszkiewicz.</t>
        </is>
      </c>
      <c r="F1164" t="inlineStr">
        <is>
          <t>No</t>
        </is>
      </c>
      <c r="G1164" t="inlineStr">
        <is>
          <t>1</t>
        </is>
      </c>
      <c r="H1164" t="inlineStr">
        <is>
          <t>No</t>
        </is>
      </c>
      <c r="I1164" t="inlineStr">
        <is>
          <t>No</t>
        </is>
      </c>
      <c r="J1164" t="inlineStr">
        <is>
          <t>0</t>
        </is>
      </c>
      <c r="K1164" t="inlineStr">
        <is>
          <t>Piszkiewicz, Dennis.</t>
        </is>
      </c>
      <c r="L1164" t="inlineStr">
        <is>
          <t>New York : Oxford University Press, 1977.</t>
        </is>
      </c>
      <c r="M1164" t="inlineStr">
        <is>
          <t>1977</t>
        </is>
      </c>
      <c r="O1164" t="inlineStr">
        <is>
          <t>eng</t>
        </is>
      </c>
      <c r="P1164" t="inlineStr">
        <is>
          <t>nyu</t>
        </is>
      </c>
      <c r="R1164" t="inlineStr">
        <is>
          <t xml:space="preserve">QD </t>
        </is>
      </c>
      <c r="S1164" t="n">
        <v>8</v>
      </c>
      <c r="T1164" t="n">
        <v>8</v>
      </c>
      <c r="U1164" t="inlineStr">
        <is>
          <t>1995-03-01</t>
        </is>
      </c>
      <c r="V1164" t="inlineStr">
        <is>
          <t>1995-03-01</t>
        </is>
      </c>
      <c r="W1164" t="inlineStr">
        <is>
          <t>1992-01-23</t>
        </is>
      </c>
      <c r="X1164" t="inlineStr">
        <is>
          <t>1992-01-23</t>
        </is>
      </c>
      <c r="Y1164" t="n">
        <v>470</v>
      </c>
      <c r="Z1164" t="n">
        <v>376</v>
      </c>
      <c r="AA1164" t="n">
        <v>381</v>
      </c>
      <c r="AB1164" t="n">
        <v>2</v>
      </c>
      <c r="AC1164" t="n">
        <v>2</v>
      </c>
      <c r="AD1164" t="n">
        <v>17</v>
      </c>
      <c r="AE1164" t="n">
        <v>17</v>
      </c>
      <c r="AF1164" t="n">
        <v>5</v>
      </c>
      <c r="AG1164" t="n">
        <v>5</v>
      </c>
      <c r="AH1164" t="n">
        <v>4</v>
      </c>
      <c r="AI1164" t="n">
        <v>4</v>
      </c>
      <c r="AJ1164" t="n">
        <v>10</v>
      </c>
      <c r="AK1164" t="n">
        <v>10</v>
      </c>
      <c r="AL1164" t="n">
        <v>1</v>
      </c>
      <c r="AM1164" t="n">
        <v>1</v>
      </c>
      <c r="AN1164" t="n">
        <v>0</v>
      </c>
      <c r="AO1164" t="n">
        <v>0</v>
      </c>
      <c r="AP1164" t="inlineStr">
        <is>
          <t>No</t>
        </is>
      </c>
      <c r="AQ1164" t="inlineStr">
        <is>
          <t>Yes</t>
        </is>
      </c>
      <c r="AR1164">
        <f>HYPERLINK("http://catalog.hathitrust.org/Record/006246398","HathiTrust Record")</f>
        <v/>
      </c>
      <c r="AS1164">
        <f>HYPERLINK("https://creighton-primo.hosted.exlibrisgroup.com/primo-explore/search?tab=default_tab&amp;search_scope=EVERYTHING&amp;vid=01CRU&amp;lang=en_US&amp;offset=0&amp;query=any,contains,991004222779702656","Catalog Record")</f>
        <v/>
      </c>
      <c r="AT1164">
        <f>HYPERLINK("http://www.worldcat.org/oclc/2718146","WorldCat Record")</f>
        <v/>
      </c>
      <c r="AU1164" t="inlineStr">
        <is>
          <t>5909891:eng</t>
        </is>
      </c>
      <c r="AV1164" t="inlineStr">
        <is>
          <t>2718146</t>
        </is>
      </c>
      <c r="AW1164" t="inlineStr">
        <is>
          <t>991004222779702656</t>
        </is>
      </c>
      <c r="AX1164" t="inlineStr">
        <is>
          <t>991004222779702656</t>
        </is>
      </c>
      <c r="AY1164" t="inlineStr">
        <is>
          <t>2271082230002656</t>
        </is>
      </c>
      <c r="AZ1164" t="inlineStr">
        <is>
          <t>BOOK</t>
        </is>
      </c>
      <c r="BB1164" t="inlineStr">
        <is>
          <t>9780195020953</t>
        </is>
      </c>
      <c r="BC1164" t="inlineStr">
        <is>
          <t>32285000916683</t>
        </is>
      </c>
      <c r="BD1164" t="inlineStr">
        <is>
          <t>893349755</t>
        </is>
      </c>
    </row>
    <row r="1165">
      <c r="A1165" t="inlineStr">
        <is>
          <t>No</t>
        </is>
      </c>
      <c r="B1165" t="inlineStr">
        <is>
          <t>QD505 .S256 2006</t>
        </is>
      </c>
      <c r="C1165" t="inlineStr">
        <is>
          <t>0                      QD 0505000S  256         2006</t>
        </is>
      </c>
      <c r="D1165" t="inlineStr">
        <is>
          <t>Molecular heterogeneous catalysis : a conceptual and computational approach / Rutger Anthony van Santen and Matthew Neurock.</t>
        </is>
      </c>
      <c r="F1165" t="inlineStr">
        <is>
          <t>No</t>
        </is>
      </c>
      <c r="G1165" t="inlineStr">
        <is>
          <t>1</t>
        </is>
      </c>
      <c r="H1165" t="inlineStr">
        <is>
          <t>No</t>
        </is>
      </c>
      <c r="I1165" t="inlineStr">
        <is>
          <t>No</t>
        </is>
      </c>
      <c r="J1165" t="inlineStr">
        <is>
          <t>0</t>
        </is>
      </c>
      <c r="K1165" t="inlineStr">
        <is>
          <t>Santen, R. A. van (Rutger A.)</t>
        </is>
      </c>
      <c r="L1165" t="inlineStr">
        <is>
          <t>Weinheim ; Cambridge : Wiley-VCH, c2006.</t>
        </is>
      </c>
      <c r="M1165" t="inlineStr">
        <is>
          <t>2006</t>
        </is>
      </c>
      <c r="O1165" t="inlineStr">
        <is>
          <t>eng</t>
        </is>
      </c>
      <c r="P1165" t="inlineStr">
        <is>
          <t xml:space="preserve">gw </t>
        </is>
      </c>
      <c r="R1165" t="inlineStr">
        <is>
          <t xml:space="preserve">QD </t>
        </is>
      </c>
      <c r="S1165" t="n">
        <v>1</v>
      </c>
      <c r="T1165" t="n">
        <v>1</v>
      </c>
      <c r="U1165" t="inlineStr">
        <is>
          <t>2008-09-23</t>
        </is>
      </c>
      <c r="V1165" t="inlineStr">
        <is>
          <t>2008-09-23</t>
        </is>
      </c>
      <c r="W1165" t="inlineStr">
        <is>
          <t>2008-09-23</t>
        </is>
      </c>
      <c r="X1165" t="inlineStr">
        <is>
          <t>2008-09-23</t>
        </is>
      </c>
      <c r="Y1165" t="n">
        <v>188</v>
      </c>
      <c r="Z1165" t="n">
        <v>130</v>
      </c>
      <c r="AA1165" t="n">
        <v>204</v>
      </c>
      <c r="AB1165" t="n">
        <v>2</v>
      </c>
      <c r="AC1165" t="n">
        <v>2</v>
      </c>
      <c r="AD1165" t="n">
        <v>3</v>
      </c>
      <c r="AE1165" t="n">
        <v>5</v>
      </c>
      <c r="AF1165" t="n">
        <v>0</v>
      </c>
      <c r="AG1165" t="n">
        <v>0</v>
      </c>
      <c r="AH1165" t="n">
        <v>2</v>
      </c>
      <c r="AI1165" t="n">
        <v>3</v>
      </c>
      <c r="AJ1165" t="n">
        <v>2</v>
      </c>
      <c r="AK1165" t="n">
        <v>3</v>
      </c>
      <c r="AL1165" t="n">
        <v>1</v>
      </c>
      <c r="AM1165" t="n">
        <v>1</v>
      </c>
      <c r="AN1165" t="n">
        <v>0</v>
      </c>
      <c r="AO1165" t="n">
        <v>0</v>
      </c>
      <c r="AP1165" t="inlineStr">
        <is>
          <t>No</t>
        </is>
      </c>
      <c r="AQ1165" t="inlineStr">
        <is>
          <t>No</t>
        </is>
      </c>
      <c r="AS1165">
        <f>HYPERLINK("https://creighton-primo.hosted.exlibrisgroup.com/primo-explore/search?tab=default_tab&amp;search_scope=EVERYTHING&amp;vid=01CRU&amp;lang=en_US&amp;offset=0&amp;query=any,contains,991005262749702656","Catalog Record")</f>
        <v/>
      </c>
      <c r="AT1165">
        <f>HYPERLINK("http://www.worldcat.org/oclc/64300208","WorldCat Record")</f>
        <v/>
      </c>
      <c r="AU1165" t="inlineStr">
        <is>
          <t>802616910:eng</t>
        </is>
      </c>
      <c r="AV1165" t="inlineStr">
        <is>
          <t>64300208</t>
        </is>
      </c>
      <c r="AW1165" t="inlineStr">
        <is>
          <t>991005262749702656</t>
        </is>
      </c>
      <c r="AX1165" t="inlineStr">
        <is>
          <t>991005262749702656</t>
        </is>
      </c>
      <c r="AY1165" t="inlineStr">
        <is>
          <t>2264303740002656</t>
        </is>
      </c>
      <c r="AZ1165" t="inlineStr">
        <is>
          <t>BOOK</t>
        </is>
      </c>
      <c r="BB1165" t="inlineStr">
        <is>
          <t>9783527296620</t>
        </is>
      </c>
      <c r="BC1165" t="inlineStr">
        <is>
          <t>32285005459747</t>
        </is>
      </c>
      <c r="BD1165" t="inlineStr">
        <is>
          <t>893437424</t>
        </is>
      </c>
    </row>
    <row r="1166">
      <c r="A1166" t="inlineStr">
        <is>
          <t>No</t>
        </is>
      </c>
      <c r="B1166" t="inlineStr">
        <is>
          <t>QD505 .S5 2007</t>
        </is>
      </c>
      <c r="C1166" t="inlineStr">
        <is>
          <t>0                      QD 0505000S  5           2007</t>
        </is>
      </c>
      <c r="D1166" t="inlineStr">
        <is>
          <t>Green chemistry and catalysis / Roger Arthur Sheldon, Isabel Arends, and Ulf Hanefeld.</t>
        </is>
      </c>
      <c r="F1166" t="inlineStr">
        <is>
          <t>No</t>
        </is>
      </c>
      <c r="G1166" t="inlineStr">
        <is>
          <t>1</t>
        </is>
      </c>
      <c r="H1166" t="inlineStr">
        <is>
          <t>No</t>
        </is>
      </c>
      <c r="I1166" t="inlineStr">
        <is>
          <t>No</t>
        </is>
      </c>
      <c r="J1166" t="inlineStr">
        <is>
          <t>0</t>
        </is>
      </c>
      <c r="K1166" t="inlineStr">
        <is>
          <t>Sheldon, Roger A.</t>
        </is>
      </c>
      <c r="L1166" t="inlineStr">
        <is>
          <t>Weinheim : Wiley-VCH, c2007.</t>
        </is>
      </c>
      <c r="M1166" t="inlineStr">
        <is>
          <t>2007</t>
        </is>
      </c>
      <c r="O1166" t="inlineStr">
        <is>
          <t>eng</t>
        </is>
      </c>
      <c r="P1166" t="inlineStr">
        <is>
          <t xml:space="preserve">gw </t>
        </is>
      </c>
      <c r="R1166" t="inlineStr">
        <is>
          <t xml:space="preserve">QD </t>
        </is>
      </c>
      <c r="S1166" t="n">
        <v>1</v>
      </c>
      <c r="T1166" t="n">
        <v>1</v>
      </c>
      <c r="U1166" t="inlineStr">
        <is>
          <t>2008-05-13</t>
        </is>
      </c>
      <c r="V1166" t="inlineStr">
        <is>
          <t>2008-05-13</t>
        </is>
      </c>
      <c r="W1166" t="inlineStr">
        <is>
          <t>2008-05-13</t>
        </is>
      </c>
      <c r="X1166" t="inlineStr">
        <is>
          <t>2008-05-13</t>
        </is>
      </c>
      <c r="Y1166" t="n">
        <v>595</v>
      </c>
      <c r="Z1166" t="n">
        <v>462</v>
      </c>
      <c r="AA1166" t="n">
        <v>538</v>
      </c>
      <c r="AB1166" t="n">
        <v>4</v>
      </c>
      <c r="AC1166" t="n">
        <v>5</v>
      </c>
      <c r="AD1166" t="n">
        <v>30</v>
      </c>
      <c r="AE1166" t="n">
        <v>31</v>
      </c>
      <c r="AF1166" t="n">
        <v>14</v>
      </c>
      <c r="AG1166" t="n">
        <v>14</v>
      </c>
      <c r="AH1166" t="n">
        <v>6</v>
      </c>
      <c r="AI1166" t="n">
        <v>6</v>
      </c>
      <c r="AJ1166" t="n">
        <v>13</v>
      </c>
      <c r="AK1166" t="n">
        <v>13</v>
      </c>
      <c r="AL1166" t="n">
        <v>3</v>
      </c>
      <c r="AM1166" t="n">
        <v>4</v>
      </c>
      <c r="AN1166" t="n">
        <v>0</v>
      </c>
      <c r="AO1166" t="n">
        <v>0</v>
      </c>
      <c r="AP1166" t="inlineStr">
        <is>
          <t>No</t>
        </is>
      </c>
      <c r="AQ1166" t="inlineStr">
        <is>
          <t>No</t>
        </is>
      </c>
      <c r="AS1166">
        <f>HYPERLINK("https://creighton-primo.hosted.exlibrisgroup.com/primo-explore/search?tab=default_tab&amp;search_scope=EVERYTHING&amp;vid=01CRU&amp;lang=en_US&amp;offset=0&amp;query=any,contains,991005209869702656","Catalog Record")</f>
        <v/>
      </c>
      <c r="AT1166">
        <f>HYPERLINK("http://www.worldcat.org/oclc/85897351","WorldCat Record")</f>
        <v/>
      </c>
      <c r="AU1166" t="inlineStr">
        <is>
          <t>58292891:eng</t>
        </is>
      </c>
      <c r="AV1166" t="inlineStr">
        <is>
          <t>85897351</t>
        </is>
      </c>
      <c r="AW1166" t="inlineStr">
        <is>
          <t>991005209869702656</t>
        </is>
      </c>
      <c r="AX1166" t="inlineStr">
        <is>
          <t>991005209869702656</t>
        </is>
      </c>
      <c r="AY1166" t="inlineStr">
        <is>
          <t>2260526190002656</t>
        </is>
      </c>
      <c r="AZ1166" t="inlineStr">
        <is>
          <t>BOOK</t>
        </is>
      </c>
      <c r="BB1166" t="inlineStr">
        <is>
          <t>9783527307159</t>
        </is>
      </c>
      <c r="BC1166" t="inlineStr">
        <is>
          <t>32285005407001</t>
        </is>
      </c>
      <c r="BD1166" t="inlineStr">
        <is>
          <t>893795786</t>
        </is>
      </c>
    </row>
    <row r="1167">
      <c r="A1167" t="inlineStr">
        <is>
          <t>No</t>
        </is>
      </c>
      <c r="B1167" t="inlineStr">
        <is>
          <t>QD505 .S7</t>
        </is>
      </c>
      <c r="C1167" t="inlineStr">
        <is>
          <t>0                      QD 0505000S  7</t>
        </is>
      </c>
      <c r="D1167" t="inlineStr">
        <is>
          <t>Phase transfer catalysis : principles and techniques / Charles M. Starks, Charles Liotta.</t>
        </is>
      </c>
      <c r="F1167" t="inlineStr">
        <is>
          <t>No</t>
        </is>
      </c>
      <c r="G1167" t="inlineStr">
        <is>
          <t>1</t>
        </is>
      </c>
      <c r="H1167" t="inlineStr">
        <is>
          <t>No</t>
        </is>
      </c>
      <c r="I1167" t="inlineStr">
        <is>
          <t>No</t>
        </is>
      </c>
      <c r="J1167" t="inlineStr">
        <is>
          <t>0</t>
        </is>
      </c>
      <c r="K1167" t="inlineStr">
        <is>
          <t>Starks, Charles M.</t>
        </is>
      </c>
      <c r="L1167" t="inlineStr">
        <is>
          <t>New York : Academic Press, 1978.</t>
        </is>
      </c>
      <c r="M1167" t="inlineStr">
        <is>
          <t>1978</t>
        </is>
      </c>
      <c r="O1167" t="inlineStr">
        <is>
          <t>eng</t>
        </is>
      </c>
      <c r="P1167" t="inlineStr">
        <is>
          <t>nyu</t>
        </is>
      </c>
      <c r="R1167" t="inlineStr">
        <is>
          <t xml:space="preserve">QD </t>
        </is>
      </c>
      <c r="S1167" t="n">
        <v>2</v>
      </c>
      <c r="T1167" t="n">
        <v>2</v>
      </c>
      <c r="U1167" t="inlineStr">
        <is>
          <t>1997-04-23</t>
        </is>
      </c>
      <c r="V1167" t="inlineStr">
        <is>
          <t>1997-04-23</t>
        </is>
      </c>
      <c r="W1167" t="inlineStr">
        <is>
          <t>1993-02-11</t>
        </is>
      </c>
      <c r="X1167" t="inlineStr">
        <is>
          <t>1993-02-11</t>
        </is>
      </c>
      <c r="Y1167" t="n">
        <v>465</v>
      </c>
      <c r="Z1167" t="n">
        <v>342</v>
      </c>
      <c r="AA1167" t="n">
        <v>386</v>
      </c>
      <c r="AB1167" t="n">
        <v>3</v>
      </c>
      <c r="AC1167" t="n">
        <v>3</v>
      </c>
      <c r="AD1167" t="n">
        <v>16</v>
      </c>
      <c r="AE1167" t="n">
        <v>17</v>
      </c>
      <c r="AF1167" t="n">
        <v>3</v>
      </c>
      <c r="AG1167" t="n">
        <v>4</v>
      </c>
      <c r="AH1167" t="n">
        <v>6</v>
      </c>
      <c r="AI1167" t="n">
        <v>6</v>
      </c>
      <c r="AJ1167" t="n">
        <v>10</v>
      </c>
      <c r="AK1167" t="n">
        <v>10</v>
      </c>
      <c r="AL1167" t="n">
        <v>2</v>
      </c>
      <c r="AM1167" t="n">
        <v>2</v>
      </c>
      <c r="AN1167" t="n">
        <v>0</v>
      </c>
      <c r="AO1167" t="n">
        <v>0</v>
      </c>
      <c r="AP1167" t="inlineStr">
        <is>
          <t>No</t>
        </is>
      </c>
      <c r="AQ1167" t="inlineStr">
        <is>
          <t>Yes</t>
        </is>
      </c>
      <c r="AR1167">
        <f>HYPERLINK("http://catalog.hathitrust.org/Record/007477008","HathiTrust Record")</f>
        <v/>
      </c>
      <c r="AS1167">
        <f>HYPERLINK("https://creighton-primo.hosted.exlibrisgroup.com/primo-explore/search?tab=default_tab&amp;search_scope=EVERYTHING&amp;vid=01CRU&amp;lang=en_US&amp;offset=0&amp;query=any,contains,991004512909702656","Catalog Record")</f>
        <v/>
      </c>
      <c r="AT1167">
        <f>HYPERLINK("http://www.worldcat.org/oclc/3771768","WorldCat Record")</f>
        <v/>
      </c>
      <c r="AU1167" t="inlineStr">
        <is>
          <t>3943921009:eng</t>
        </is>
      </c>
      <c r="AV1167" t="inlineStr">
        <is>
          <t>3771768</t>
        </is>
      </c>
      <c r="AW1167" t="inlineStr">
        <is>
          <t>991004512909702656</t>
        </is>
      </c>
      <c r="AX1167" t="inlineStr">
        <is>
          <t>991004512909702656</t>
        </is>
      </c>
      <c r="AY1167" t="inlineStr">
        <is>
          <t>2262097300002656</t>
        </is>
      </c>
      <c r="AZ1167" t="inlineStr">
        <is>
          <t>BOOK</t>
        </is>
      </c>
      <c r="BB1167" t="inlineStr">
        <is>
          <t>9780126636604</t>
        </is>
      </c>
      <c r="BC1167" t="inlineStr">
        <is>
          <t>32285001517423</t>
        </is>
      </c>
      <c r="BD1167" t="inlineStr">
        <is>
          <t>893869803</t>
        </is>
      </c>
    </row>
    <row r="1168">
      <c r="A1168" t="inlineStr">
        <is>
          <t>No</t>
        </is>
      </c>
      <c r="B1168" t="inlineStr">
        <is>
          <t>QD505 .W4</t>
        </is>
      </c>
      <c r="C1168" t="inlineStr">
        <is>
          <t>0                      QD 0505000W  4</t>
        </is>
      </c>
      <c r="D1168" t="inlineStr">
        <is>
          <t>Phase transfer catalysis in organic synthesis / W. P. Weber, G. W. Gokel.</t>
        </is>
      </c>
      <c r="F1168" t="inlineStr">
        <is>
          <t>No</t>
        </is>
      </c>
      <c r="G1168" t="inlineStr">
        <is>
          <t>1</t>
        </is>
      </c>
      <c r="H1168" t="inlineStr">
        <is>
          <t>No</t>
        </is>
      </c>
      <c r="I1168" t="inlineStr">
        <is>
          <t>No</t>
        </is>
      </c>
      <c r="J1168" t="inlineStr">
        <is>
          <t>0</t>
        </is>
      </c>
      <c r="K1168" t="inlineStr">
        <is>
          <t>Weber, William P., 1940-</t>
        </is>
      </c>
      <c r="L1168" t="inlineStr">
        <is>
          <t>Berlin ; New York : Springer-Verlag, 1977.</t>
        </is>
      </c>
      <c r="M1168" t="inlineStr">
        <is>
          <t>1977</t>
        </is>
      </c>
      <c r="O1168" t="inlineStr">
        <is>
          <t>eng</t>
        </is>
      </c>
      <c r="P1168" t="inlineStr">
        <is>
          <t xml:space="preserve">gw </t>
        </is>
      </c>
      <c r="Q1168" t="inlineStr">
        <is>
          <t>Reactivity and structure ; v. 4</t>
        </is>
      </c>
      <c r="R1168" t="inlineStr">
        <is>
          <t xml:space="preserve">QD </t>
        </is>
      </c>
      <c r="S1168" t="n">
        <v>1</v>
      </c>
      <c r="T1168" t="n">
        <v>1</v>
      </c>
      <c r="U1168" t="inlineStr">
        <is>
          <t>1997-10-08</t>
        </is>
      </c>
      <c r="V1168" t="inlineStr">
        <is>
          <t>1997-10-08</t>
        </is>
      </c>
      <c r="W1168" t="inlineStr">
        <is>
          <t>1997-10-07</t>
        </is>
      </c>
      <c r="X1168" t="inlineStr">
        <is>
          <t>1997-10-07</t>
        </is>
      </c>
      <c r="Y1168" t="n">
        <v>370</v>
      </c>
      <c r="Z1168" t="n">
        <v>262</v>
      </c>
      <c r="AA1168" t="n">
        <v>283</v>
      </c>
      <c r="AB1168" t="n">
        <v>1</v>
      </c>
      <c r="AC1168" t="n">
        <v>1</v>
      </c>
      <c r="AD1168" t="n">
        <v>12</v>
      </c>
      <c r="AE1168" t="n">
        <v>13</v>
      </c>
      <c r="AF1168" t="n">
        <v>1</v>
      </c>
      <c r="AG1168" t="n">
        <v>2</v>
      </c>
      <c r="AH1168" t="n">
        <v>6</v>
      </c>
      <c r="AI1168" t="n">
        <v>6</v>
      </c>
      <c r="AJ1168" t="n">
        <v>9</v>
      </c>
      <c r="AK1168" t="n">
        <v>10</v>
      </c>
      <c r="AL1168" t="n">
        <v>0</v>
      </c>
      <c r="AM1168" t="n">
        <v>0</v>
      </c>
      <c r="AN1168" t="n">
        <v>0</v>
      </c>
      <c r="AO1168" t="n">
        <v>0</v>
      </c>
      <c r="AP1168" t="inlineStr">
        <is>
          <t>No</t>
        </is>
      </c>
      <c r="AQ1168" t="inlineStr">
        <is>
          <t>Yes</t>
        </is>
      </c>
      <c r="AR1168">
        <f>HYPERLINK("http://catalog.hathitrust.org/Record/000292349","HathiTrust Record")</f>
        <v/>
      </c>
      <c r="AS1168">
        <f>HYPERLINK("https://creighton-primo.hosted.exlibrisgroup.com/primo-explore/search?tab=default_tab&amp;search_scope=EVERYTHING&amp;vid=01CRU&amp;lang=en_US&amp;offset=0&amp;query=any,contains,991004350509702656","Catalog Record")</f>
        <v/>
      </c>
      <c r="AT1168">
        <f>HYPERLINK("http://www.worldcat.org/oclc/3119631","WorldCat Record")</f>
        <v/>
      </c>
      <c r="AU1168" t="inlineStr">
        <is>
          <t>8086393:eng</t>
        </is>
      </c>
      <c r="AV1168" t="inlineStr">
        <is>
          <t>3119631</t>
        </is>
      </c>
      <c r="AW1168" t="inlineStr">
        <is>
          <t>991004350509702656</t>
        </is>
      </c>
      <c r="AX1168" t="inlineStr">
        <is>
          <t>991004350509702656</t>
        </is>
      </c>
      <c r="AY1168" t="inlineStr">
        <is>
          <t>2269092660002656</t>
        </is>
      </c>
      <c r="AZ1168" t="inlineStr">
        <is>
          <t>BOOK</t>
        </is>
      </c>
      <c r="BB1168" t="inlineStr">
        <is>
          <t>9780387083773</t>
        </is>
      </c>
      <c r="BC1168" t="inlineStr">
        <is>
          <t>32285003255089</t>
        </is>
      </c>
      <c r="BD1168" t="inlineStr">
        <is>
          <t>893349913</t>
        </is>
      </c>
    </row>
    <row r="1169">
      <c r="A1169" t="inlineStr">
        <is>
          <t>No</t>
        </is>
      </c>
      <c r="B1169" t="inlineStr">
        <is>
          <t>QD506 .A3 1976</t>
        </is>
      </c>
      <c r="C1169" t="inlineStr">
        <is>
          <t>0                      QD 0506000A  3           1976</t>
        </is>
      </c>
      <c r="D1169" t="inlineStr">
        <is>
          <t>Physical chemistry of surfaces / Arthur W. Adamson.</t>
        </is>
      </c>
      <c r="F1169" t="inlineStr">
        <is>
          <t>No</t>
        </is>
      </c>
      <c r="G1169" t="inlineStr">
        <is>
          <t>1</t>
        </is>
      </c>
      <c r="H1169" t="inlineStr">
        <is>
          <t>No</t>
        </is>
      </c>
      <c r="I1169" t="inlineStr">
        <is>
          <t>No</t>
        </is>
      </c>
      <c r="J1169" t="inlineStr">
        <is>
          <t>0</t>
        </is>
      </c>
      <c r="K1169" t="inlineStr">
        <is>
          <t>Adamson, Arthur W.</t>
        </is>
      </c>
      <c r="L1169" t="inlineStr">
        <is>
          <t>New York : Wiley, c1976.</t>
        </is>
      </c>
      <c r="M1169" t="inlineStr">
        <is>
          <t>1976</t>
        </is>
      </c>
      <c r="N1169" t="inlineStr">
        <is>
          <t>3d ed.</t>
        </is>
      </c>
      <c r="O1169" t="inlineStr">
        <is>
          <t>eng</t>
        </is>
      </c>
      <c r="P1169" t="inlineStr">
        <is>
          <t>nyu</t>
        </is>
      </c>
      <c r="R1169" t="inlineStr">
        <is>
          <t xml:space="preserve">QD </t>
        </is>
      </c>
      <c r="S1169" t="n">
        <v>2</v>
      </c>
      <c r="T1169" t="n">
        <v>2</v>
      </c>
      <c r="U1169" t="inlineStr">
        <is>
          <t>1993-10-01</t>
        </is>
      </c>
      <c r="V1169" t="inlineStr">
        <is>
          <t>1993-10-01</t>
        </is>
      </c>
      <c r="W1169" t="inlineStr">
        <is>
          <t>1993-02-11</t>
        </is>
      </c>
      <c r="X1169" t="inlineStr">
        <is>
          <t>1993-02-11</t>
        </is>
      </c>
      <c r="Y1169" t="n">
        <v>564</v>
      </c>
      <c r="Z1169" t="n">
        <v>429</v>
      </c>
      <c r="AA1169" t="n">
        <v>1592</v>
      </c>
      <c r="AB1169" t="n">
        <v>1</v>
      </c>
      <c r="AC1169" t="n">
        <v>8</v>
      </c>
      <c r="AD1169" t="n">
        <v>10</v>
      </c>
      <c r="AE1169" t="n">
        <v>49</v>
      </c>
      <c r="AF1169" t="n">
        <v>6</v>
      </c>
      <c r="AG1169" t="n">
        <v>21</v>
      </c>
      <c r="AH1169" t="n">
        <v>3</v>
      </c>
      <c r="AI1169" t="n">
        <v>9</v>
      </c>
      <c r="AJ1169" t="n">
        <v>6</v>
      </c>
      <c r="AK1169" t="n">
        <v>24</v>
      </c>
      <c r="AL1169" t="n">
        <v>0</v>
      </c>
      <c r="AM1169" t="n">
        <v>7</v>
      </c>
      <c r="AN1169" t="n">
        <v>0</v>
      </c>
      <c r="AO1169" t="n">
        <v>0</v>
      </c>
      <c r="AP1169" t="inlineStr">
        <is>
          <t>No</t>
        </is>
      </c>
      <c r="AQ1169" t="inlineStr">
        <is>
          <t>Yes</t>
        </is>
      </c>
      <c r="AR1169">
        <f>HYPERLINK("http://catalog.hathitrust.org/Record/007395312","HathiTrust Record")</f>
        <v/>
      </c>
      <c r="AS1169">
        <f>HYPERLINK("https://creighton-primo.hosted.exlibrisgroup.com/primo-explore/search?tab=default_tab&amp;search_scope=EVERYTHING&amp;vid=01CRU&amp;lang=en_US&amp;offset=0&amp;query=any,contains,991004042069702656","Catalog Record")</f>
        <v/>
      </c>
      <c r="AT1169">
        <f>HYPERLINK("http://www.worldcat.org/oclc/2189206","WorldCat Record")</f>
        <v/>
      </c>
      <c r="AU1169" t="inlineStr">
        <is>
          <t>548439:eng</t>
        </is>
      </c>
      <c r="AV1169" t="inlineStr">
        <is>
          <t>2189206</t>
        </is>
      </c>
      <c r="AW1169" t="inlineStr">
        <is>
          <t>991004042069702656</t>
        </is>
      </c>
      <c r="AX1169" t="inlineStr">
        <is>
          <t>991004042069702656</t>
        </is>
      </c>
      <c r="AY1169" t="inlineStr">
        <is>
          <t>2265408980002656</t>
        </is>
      </c>
      <c r="AZ1169" t="inlineStr">
        <is>
          <t>BOOK</t>
        </is>
      </c>
      <c r="BB1169" t="inlineStr">
        <is>
          <t>9780471007944</t>
        </is>
      </c>
      <c r="BC1169" t="inlineStr">
        <is>
          <t>32285001517472</t>
        </is>
      </c>
      <c r="BD1169" t="inlineStr">
        <is>
          <t>893525566</t>
        </is>
      </c>
    </row>
    <row r="1170">
      <c r="A1170" t="inlineStr">
        <is>
          <t>No</t>
        </is>
      </c>
      <c r="B1170" t="inlineStr">
        <is>
          <t>QD506 .B45</t>
        </is>
      </c>
      <c r="C1170" t="inlineStr">
        <is>
          <t>0                      QD 0506000B  45</t>
        </is>
      </c>
      <c r="D1170" t="inlineStr">
        <is>
          <t>Hydrophobic interactions / Arieh Ben-Naim.</t>
        </is>
      </c>
      <c r="F1170" t="inlineStr">
        <is>
          <t>No</t>
        </is>
      </c>
      <c r="G1170" t="inlineStr">
        <is>
          <t>1</t>
        </is>
      </c>
      <c r="H1170" t="inlineStr">
        <is>
          <t>No</t>
        </is>
      </c>
      <c r="I1170" t="inlineStr">
        <is>
          <t>No</t>
        </is>
      </c>
      <c r="J1170" t="inlineStr">
        <is>
          <t>0</t>
        </is>
      </c>
      <c r="K1170" t="inlineStr">
        <is>
          <t>Ben-Naim, Arieh, 1934-</t>
        </is>
      </c>
      <c r="L1170" t="inlineStr">
        <is>
          <t>New York : Plenum Press, c1979.</t>
        </is>
      </c>
      <c r="M1170" t="inlineStr">
        <is>
          <t>1979</t>
        </is>
      </c>
      <c r="O1170" t="inlineStr">
        <is>
          <t>eng</t>
        </is>
      </c>
      <c r="P1170" t="inlineStr">
        <is>
          <t>nyu</t>
        </is>
      </c>
      <c r="R1170" t="inlineStr">
        <is>
          <t xml:space="preserve">QD </t>
        </is>
      </c>
      <c r="S1170" t="n">
        <v>1</v>
      </c>
      <c r="T1170" t="n">
        <v>1</v>
      </c>
      <c r="U1170" t="inlineStr">
        <is>
          <t>2001-04-24</t>
        </is>
      </c>
      <c r="V1170" t="inlineStr">
        <is>
          <t>2001-04-24</t>
        </is>
      </c>
      <c r="W1170" t="inlineStr">
        <is>
          <t>1993-02-11</t>
        </is>
      </c>
      <c r="X1170" t="inlineStr">
        <is>
          <t>1993-02-11</t>
        </is>
      </c>
      <c r="Y1170" t="n">
        <v>365</v>
      </c>
      <c r="Z1170" t="n">
        <v>255</v>
      </c>
      <c r="AA1170" t="n">
        <v>267</v>
      </c>
      <c r="AB1170" t="n">
        <v>3</v>
      </c>
      <c r="AC1170" t="n">
        <v>3</v>
      </c>
      <c r="AD1170" t="n">
        <v>7</v>
      </c>
      <c r="AE1170" t="n">
        <v>8</v>
      </c>
      <c r="AF1170" t="n">
        <v>2</v>
      </c>
      <c r="AG1170" t="n">
        <v>3</v>
      </c>
      <c r="AH1170" t="n">
        <v>0</v>
      </c>
      <c r="AI1170" t="n">
        <v>0</v>
      </c>
      <c r="AJ1170" t="n">
        <v>4</v>
      </c>
      <c r="AK1170" t="n">
        <v>5</v>
      </c>
      <c r="AL1170" t="n">
        <v>2</v>
      </c>
      <c r="AM1170" t="n">
        <v>2</v>
      </c>
      <c r="AN1170" t="n">
        <v>0</v>
      </c>
      <c r="AO1170" t="n">
        <v>0</v>
      </c>
      <c r="AP1170" t="inlineStr">
        <is>
          <t>No</t>
        </is>
      </c>
      <c r="AQ1170" t="inlineStr">
        <is>
          <t>Yes</t>
        </is>
      </c>
      <c r="AR1170">
        <f>HYPERLINK("http://catalog.hathitrust.org/Record/000043451","HathiTrust Record")</f>
        <v/>
      </c>
      <c r="AS1170">
        <f>HYPERLINK("https://creighton-primo.hosted.exlibrisgroup.com/primo-explore/search?tab=default_tab&amp;search_scope=EVERYTHING&amp;vid=01CRU&amp;lang=en_US&amp;offset=0&amp;query=any,contains,991004695359702656","Catalog Record")</f>
        <v/>
      </c>
      <c r="AT1170">
        <f>HYPERLINK("http://www.worldcat.org/oclc/4638934","WorldCat Record")</f>
        <v/>
      </c>
      <c r="AU1170" t="inlineStr">
        <is>
          <t>14911862:eng</t>
        </is>
      </c>
      <c r="AV1170" t="inlineStr">
        <is>
          <t>4638934</t>
        </is>
      </c>
      <c r="AW1170" t="inlineStr">
        <is>
          <t>991004695359702656</t>
        </is>
      </c>
      <c r="AX1170" t="inlineStr">
        <is>
          <t>991004695359702656</t>
        </is>
      </c>
      <c r="AY1170" t="inlineStr">
        <is>
          <t>2255860610002656</t>
        </is>
      </c>
      <c r="AZ1170" t="inlineStr">
        <is>
          <t>BOOK</t>
        </is>
      </c>
      <c r="BB1170" t="inlineStr">
        <is>
          <t>9780306402227</t>
        </is>
      </c>
      <c r="BC1170" t="inlineStr">
        <is>
          <t>32285001517480</t>
        </is>
      </c>
      <c r="BD1170" t="inlineStr">
        <is>
          <t>893235831</t>
        </is>
      </c>
    </row>
    <row r="1171">
      <c r="A1171" t="inlineStr">
        <is>
          <t>No</t>
        </is>
      </c>
      <c r="B1171" t="inlineStr">
        <is>
          <t>QD506 .B49</t>
        </is>
      </c>
      <c r="C1171" t="inlineStr">
        <is>
          <t>0                      QD 0506000B  49</t>
        </is>
      </c>
      <c r="D1171" t="inlineStr">
        <is>
          <t>Physical surfaces / [by] J. J. Bikerman.</t>
        </is>
      </c>
      <c r="F1171" t="inlineStr">
        <is>
          <t>No</t>
        </is>
      </c>
      <c r="G1171" t="inlineStr">
        <is>
          <t>1</t>
        </is>
      </c>
      <c r="H1171" t="inlineStr">
        <is>
          <t>No</t>
        </is>
      </c>
      <c r="I1171" t="inlineStr">
        <is>
          <t>No</t>
        </is>
      </c>
      <c r="J1171" t="inlineStr">
        <is>
          <t>0</t>
        </is>
      </c>
      <c r="K1171" t="inlineStr">
        <is>
          <t>Bikerman, J. J. (Jacob Joseph), 1898-1978.</t>
        </is>
      </c>
      <c r="L1171" t="inlineStr">
        <is>
          <t>New York : Academic Press, 1970.</t>
        </is>
      </c>
      <c r="M1171" t="inlineStr">
        <is>
          <t>1970</t>
        </is>
      </c>
      <c r="O1171" t="inlineStr">
        <is>
          <t>eng</t>
        </is>
      </c>
      <c r="P1171" t="inlineStr">
        <is>
          <t>nyu</t>
        </is>
      </c>
      <c r="Q1171" t="inlineStr">
        <is>
          <t>Physical chemistry, a series of monographs, 20</t>
        </is>
      </c>
      <c r="R1171" t="inlineStr">
        <is>
          <t xml:space="preserve">QD </t>
        </is>
      </c>
      <c r="S1171" t="n">
        <v>4</v>
      </c>
      <c r="T1171" t="n">
        <v>4</v>
      </c>
      <c r="U1171" t="inlineStr">
        <is>
          <t>1993-09-26</t>
        </is>
      </c>
      <c r="V1171" t="inlineStr">
        <is>
          <t>1993-09-26</t>
        </is>
      </c>
      <c r="W1171" t="inlineStr">
        <is>
          <t>1993-09-09</t>
        </is>
      </c>
      <c r="X1171" t="inlineStr">
        <is>
          <t>1993-09-09</t>
        </is>
      </c>
      <c r="Y1171" t="n">
        <v>369</v>
      </c>
      <c r="Z1171" t="n">
        <v>244</v>
      </c>
      <c r="AA1171" t="n">
        <v>277</v>
      </c>
      <c r="AB1171" t="n">
        <v>2</v>
      </c>
      <c r="AC1171" t="n">
        <v>2</v>
      </c>
      <c r="AD1171" t="n">
        <v>11</v>
      </c>
      <c r="AE1171" t="n">
        <v>13</v>
      </c>
      <c r="AF1171" t="n">
        <v>2</v>
      </c>
      <c r="AG1171" t="n">
        <v>3</v>
      </c>
      <c r="AH1171" t="n">
        <v>4</v>
      </c>
      <c r="AI1171" t="n">
        <v>5</v>
      </c>
      <c r="AJ1171" t="n">
        <v>6</v>
      </c>
      <c r="AK1171" t="n">
        <v>6</v>
      </c>
      <c r="AL1171" t="n">
        <v>1</v>
      </c>
      <c r="AM1171" t="n">
        <v>1</v>
      </c>
      <c r="AN1171" t="n">
        <v>0</v>
      </c>
      <c r="AO1171" t="n">
        <v>0</v>
      </c>
      <c r="AP1171" t="inlineStr">
        <is>
          <t>No</t>
        </is>
      </c>
      <c r="AQ1171" t="inlineStr">
        <is>
          <t>Yes</t>
        </is>
      </c>
      <c r="AR1171">
        <f>HYPERLINK("http://catalog.hathitrust.org/Record/007475249","HathiTrust Record")</f>
        <v/>
      </c>
      <c r="AS1171">
        <f>HYPERLINK("https://creighton-primo.hosted.exlibrisgroup.com/primo-explore/search?tab=default_tab&amp;search_scope=EVERYTHING&amp;vid=01CRU&amp;lang=en_US&amp;offset=0&amp;query=any,contains,991000549549702656","Catalog Record")</f>
        <v/>
      </c>
      <c r="AT1171">
        <f>HYPERLINK("http://www.worldcat.org/oclc/92307","WorldCat Record")</f>
        <v/>
      </c>
      <c r="AU1171" t="inlineStr">
        <is>
          <t>1305422:eng</t>
        </is>
      </c>
      <c r="AV1171" t="inlineStr">
        <is>
          <t>92307</t>
        </is>
      </c>
      <c r="AW1171" t="inlineStr">
        <is>
          <t>991000549549702656</t>
        </is>
      </c>
      <c r="AX1171" t="inlineStr">
        <is>
          <t>991000549549702656</t>
        </is>
      </c>
      <c r="AY1171" t="inlineStr">
        <is>
          <t>2262631320002656</t>
        </is>
      </c>
      <c r="AZ1171" t="inlineStr">
        <is>
          <t>BOOK</t>
        </is>
      </c>
      <c r="BC1171" t="inlineStr">
        <is>
          <t>32285001764256</t>
        </is>
      </c>
      <c r="BD1171" t="inlineStr">
        <is>
          <t>893695932</t>
        </is>
      </c>
    </row>
    <row r="1172">
      <c r="A1172" t="inlineStr">
        <is>
          <t>No</t>
        </is>
      </c>
      <c r="B1172" t="inlineStr">
        <is>
          <t>QD506 .H4413 1984</t>
        </is>
      </c>
      <c r="C1172" t="inlineStr">
        <is>
          <t>0                      QD 0506000H  4413        1984</t>
        </is>
      </c>
      <c r="D1172" t="inlineStr">
        <is>
          <t>Tribochemistry / by Gerhard Heinicke ; in co-operation with Hans-Peter Hennig ... [et al.] ; and with a preface by Peter-Adolf Thiessen ; [translation was performed by B. Kleu and revised by P. Roper].</t>
        </is>
      </c>
      <c r="F1172" t="inlineStr">
        <is>
          <t>No</t>
        </is>
      </c>
      <c r="G1172" t="inlineStr">
        <is>
          <t>1</t>
        </is>
      </c>
      <c r="H1172" t="inlineStr">
        <is>
          <t>No</t>
        </is>
      </c>
      <c r="I1172" t="inlineStr">
        <is>
          <t>No</t>
        </is>
      </c>
      <c r="J1172" t="inlineStr">
        <is>
          <t>0</t>
        </is>
      </c>
      <c r="K1172" t="inlineStr">
        <is>
          <t>Heinicke, Gerhard.</t>
        </is>
      </c>
      <c r="L1172" t="inlineStr">
        <is>
          <t>München : C. Hanser, [1984?]</t>
        </is>
      </c>
      <c r="M1172" t="inlineStr">
        <is>
          <t>1984</t>
        </is>
      </c>
      <c r="O1172" t="inlineStr">
        <is>
          <t>eng</t>
        </is>
      </c>
      <c r="P1172" t="inlineStr">
        <is>
          <t xml:space="preserve">gw </t>
        </is>
      </c>
      <c r="R1172" t="inlineStr">
        <is>
          <t xml:space="preserve">QD </t>
        </is>
      </c>
      <c r="S1172" t="n">
        <v>1</v>
      </c>
      <c r="T1172" t="n">
        <v>1</v>
      </c>
      <c r="U1172" t="inlineStr">
        <is>
          <t>1994-06-13</t>
        </is>
      </c>
      <c r="V1172" t="inlineStr">
        <is>
          <t>1994-06-13</t>
        </is>
      </c>
      <c r="W1172" t="inlineStr">
        <is>
          <t>1993-02-11</t>
        </is>
      </c>
      <c r="X1172" t="inlineStr">
        <is>
          <t>1993-02-11</t>
        </is>
      </c>
      <c r="Y1172" t="n">
        <v>97</v>
      </c>
      <c r="Z1172" t="n">
        <v>62</v>
      </c>
      <c r="AA1172" t="n">
        <v>93</v>
      </c>
      <c r="AB1172" t="n">
        <v>1</v>
      </c>
      <c r="AC1172" t="n">
        <v>1</v>
      </c>
      <c r="AD1172" t="n">
        <v>0</v>
      </c>
      <c r="AE1172" t="n">
        <v>1</v>
      </c>
      <c r="AF1172" t="n">
        <v>0</v>
      </c>
      <c r="AG1172" t="n">
        <v>0</v>
      </c>
      <c r="AH1172" t="n">
        <v>0</v>
      </c>
      <c r="AI1172" t="n">
        <v>0</v>
      </c>
      <c r="AJ1172" t="n">
        <v>0</v>
      </c>
      <c r="AK1172" t="n">
        <v>1</v>
      </c>
      <c r="AL1172" t="n">
        <v>0</v>
      </c>
      <c r="AM1172" t="n">
        <v>0</v>
      </c>
      <c r="AN1172" t="n">
        <v>0</v>
      </c>
      <c r="AO1172" t="n">
        <v>0</v>
      </c>
      <c r="AP1172" t="inlineStr">
        <is>
          <t>No</t>
        </is>
      </c>
      <c r="AQ1172" t="inlineStr">
        <is>
          <t>Yes</t>
        </is>
      </c>
      <c r="AR1172">
        <f>HYPERLINK("http://catalog.hathitrust.org/Record/000657816","HathiTrust Record")</f>
        <v/>
      </c>
      <c r="AS1172">
        <f>HYPERLINK("https://creighton-primo.hosted.exlibrisgroup.com/primo-explore/search?tab=default_tab&amp;search_scope=EVERYTHING&amp;vid=01CRU&amp;lang=en_US&amp;offset=0&amp;query=any,contains,991000638769702656","Catalog Record")</f>
        <v/>
      </c>
      <c r="AT1172">
        <f>HYPERLINK("http://www.worldcat.org/oclc/12096586","WorldCat Record")</f>
        <v/>
      </c>
      <c r="AU1172" t="inlineStr">
        <is>
          <t>4876638:eng</t>
        </is>
      </c>
      <c r="AV1172" t="inlineStr">
        <is>
          <t>12096586</t>
        </is>
      </c>
      <c r="AW1172" t="inlineStr">
        <is>
          <t>991000638769702656</t>
        </is>
      </c>
      <c r="AX1172" t="inlineStr">
        <is>
          <t>991000638769702656</t>
        </is>
      </c>
      <c r="AY1172" t="inlineStr">
        <is>
          <t>2265171220002656</t>
        </is>
      </c>
      <c r="AZ1172" t="inlineStr">
        <is>
          <t>BOOK</t>
        </is>
      </c>
      <c r="BB1172" t="inlineStr">
        <is>
          <t>9783446139725</t>
        </is>
      </c>
      <c r="BC1172" t="inlineStr">
        <is>
          <t>32285001517498</t>
        </is>
      </c>
      <c r="BD1172" t="inlineStr">
        <is>
          <t>893425890</t>
        </is>
      </c>
    </row>
    <row r="1173">
      <c r="A1173" t="inlineStr">
        <is>
          <t>No</t>
        </is>
      </c>
      <c r="B1173" t="inlineStr">
        <is>
          <t>QD506 .M35 2001</t>
        </is>
      </c>
      <c r="C1173" t="inlineStr">
        <is>
          <t>0                      QD 0506000M  35          2001</t>
        </is>
      </c>
      <c r="D1173" t="inlineStr">
        <is>
          <t>Surface chemistry / Elaine M. McCash.</t>
        </is>
      </c>
      <c r="F1173" t="inlineStr">
        <is>
          <t>No</t>
        </is>
      </c>
      <c r="G1173" t="inlineStr">
        <is>
          <t>1</t>
        </is>
      </c>
      <c r="H1173" t="inlineStr">
        <is>
          <t>No</t>
        </is>
      </c>
      <c r="I1173" t="inlineStr">
        <is>
          <t>No</t>
        </is>
      </c>
      <c r="J1173" t="inlineStr">
        <is>
          <t>0</t>
        </is>
      </c>
      <c r="K1173" t="inlineStr">
        <is>
          <t>McCash, Elaine M., 1961-</t>
        </is>
      </c>
      <c r="L1173" t="inlineStr">
        <is>
          <t>Oxford ; New York : Oxford University Press, 2001.</t>
        </is>
      </c>
      <c r="M1173" t="inlineStr">
        <is>
          <t>2001</t>
        </is>
      </c>
      <c r="O1173" t="inlineStr">
        <is>
          <t>eng</t>
        </is>
      </c>
      <c r="P1173" t="inlineStr">
        <is>
          <t>enk</t>
        </is>
      </c>
      <c r="R1173" t="inlineStr">
        <is>
          <t xml:space="preserve">QD </t>
        </is>
      </c>
      <c r="S1173" t="n">
        <v>2</v>
      </c>
      <c r="T1173" t="n">
        <v>2</v>
      </c>
      <c r="U1173" t="inlineStr">
        <is>
          <t>2002-05-28</t>
        </is>
      </c>
      <c r="V1173" t="inlineStr">
        <is>
          <t>2002-05-28</t>
        </is>
      </c>
      <c r="W1173" t="inlineStr">
        <is>
          <t>2002-05-22</t>
        </is>
      </c>
      <c r="X1173" t="inlineStr">
        <is>
          <t>2002-05-22</t>
        </is>
      </c>
      <c r="Y1173" t="n">
        <v>432</v>
      </c>
      <c r="Z1173" t="n">
        <v>322</v>
      </c>
      <c r="AA1173" t="n">
        <v>322</v>
      </c>
      <c r="AB1173" t="n">
        <v>3</v>
      </c>
      <c r="AC1173" t="n">
        <v>3</v>
      </c>
      <c r="AD1173" t="n">
        <v>17</v>
      </c>
      <c r="AE1173" t="n">
        <v>17</v>
      </c>
      <c r="AF1173" t="n">
        <v>7</v>
      </c>
      <c r="AG1173" t="n">
        <v>7</v>
      </c>
      <c r="AH1173" t="n">
        <v>4</v>
      </c>
      <c r="AI1173" t="n">
        <v>4</v>
      </c>
      <c r="AJ1173" t="n">
        <v>8</v>
      </c>
      <c r="AK1173" t="n">
        <v>8</v>
      </c>
      <c r="AL1173" t="n">
        <v>2</v>
      </c>
      <c r="AM1173" t="n">
        <v>2</v>
      </c>
      <c r="AN1173" t="n">
        <v>0</v>
      </c>
      <c r="AO1173" t="n">
        <v>0</v>
      </c>
      <c r="AP1173" t="inlineStr">
        <is>
          <t>No</t>
        </is>
      </c>
      <c r="AQ1173" t="inlineStr">
        <is>
          <t>No</t>
        </is>
      </c>
      <c r="AS1173">
        <f>HYPERLINK("https://creighton-primo.hosted.exlibrisgroup.com/primo-explore/search?tab=default_tab&amp;search_scope=EVERYTHING&amp;vid=01CRU&amp;lang=en_US&amp;offset=0&amp;query=any,contains,991003751299702656","Catalog Record")</f>
        <v/>
      </c>
      <c r="AT1173">
        <f>HYPERLINK("http://www.worldcat.org/oclc/46501017","WorldCat Record")</f>
        <v/>
      </c>
      <c r="AU1173" t="inlineStr">
        <is>
          <t>34587205:eng</t>
        </is>
      </c>
      <c r="AV1173" t="inlineStr">
        <is>
          <t>46501017</t>
        </is>
      </c>
      <c r="AW1173" t="inlineStr">
        <is>
          <t>991003751299702656</t>
        </is>
      </c>
      <c r="AX1173" t="inlineStr">
        <is>
          <t>991003751299702656</t>
        </is>
      </c>
      <c r="AY1173" t="inlineStr">
        <is>
          <t>2262821190002656</t>
        </is>
      </c>
      <c r="AZ1173" t="inlineStr">
        <is>
          <t>BOOK</t>
        </is>
      </c>
      <c r="BB1173" t="inlineStr">
        <is>
          <t>9780198503286</t>
        </is>
      </c>
      <c r="BC1173" t="inlineStr">
        <is>
          <t>32285004489604</t>
        </is>
      </c>
      <c r="BD1173" t="inlineStr">
        <is>
          <t>893505948</t>
        </is>
      </c>
    </row>
    <row r="1174">
      <c r="A1174" t="inlineStr">
        <is>
          <t>No</t>
        </is>
      </c>
      <c r="B1174" t="inlineStr">
        <is>
          <t>QD506 .M67</t>
        </is>
      </c>
      <c r="C1174" t="inlineStr">
        <is>
          <t>0                      QD 0506000M  67</t>
        </is>
      </c>
      <c r="D1174" t="inlineStr">
        <is>
          <t>The chemical physics of surfaces / S. Roy Morrison.</t>
        </is>
      </c>
      <c r="F1174" t="inlineStr">
        <is>
          <t>No</t>
        </is>
      </c>
      <c r="G1174" t="inlineStr">
        <is>
          <t>1</t>
        </is>
      </c>
      <c r="H1174" t="inlineStr">
        <is>
          <t>No</t>
        </is>
      </c>
      <c r="I1174" t="inlineStr">
        <is>
          <t>No</t>
        </is>
      </c>
      <c r="J1174" t="inlineStr">
        <is>
          <t>0</t>
        </is>
      </c>
      <c r="K1174" t="inlineStr">
        <is>
          <t>Morrison, S. Roy (Stanley Roy)</t>
        </is>
      </c>
      <c r="L1174" t="inlineStr">
        <is>
          <t>New York : Plenum Press, c1977.</t>
        </is>
      </c>
      <c r="M1174" t="inlineStr">
        <is>
          <t>1977</t>
        </is>
      </c>
      <c r="O1174" t="inlineStr">
        <is>
          <t>eng</t>
        </is>
      </c>
      <c r="P1174" t="inlineStr">
        <is>
          <t>nyu</t>
        </is>
      </c>
      <c r="R1174" t="inlineStr">
        <is>
          <t xml:space="preserve">QD </t>
        </is>
      </c>
      <c r="S1174" t="n">
        <v>3</v>
      </c>
      <c r="T1174" t="n">
        <v>3</v>
      </c>
      <c r="U1174" t="inlineStr">
        <is>
          <t>1997-12-03</t>
        </is>
      </c>
      <c r="V1174" t="inlineStr">
        <is>
          <t>1997-12-03</t>
        </is>
      </c>
      <c r="W1174" t="inlineStr">
        <is>
          <t>1993-08-20</t>
        </is>
      </c>
      <c r="X1174" t="inlineStr">
        <is>
          <t>1993-08-20</t>
        </is>
      </c>
      <c r="Y1174" t="n">
        <v>438</v>
      </c>
      <c r="Z1174" t="n">
        <v>294</v>
      </c>
      <c r="AA1174" t="n">
        <v>416</v>
      </c>
      <c r="AB1174" t="n">
        <v>3</v>
      </c>
      <c r="AC1174" t="n">
        <v>3</v>
      </c>
      <c r="AD1174" t="n">
        <v>14</v>
      </c>
      <c r="AE1174" t="n">
        <v>17</v>
      </c>
      <c r="AF1174" t="n">
        <v>3</v>
      </c>
      <c r="AG1174" t="n">
        <v>5</v>
      </c>
      <c r="AH1174" t="n">
        <v>4</v>
      </c>
      <c r="AI1174" t="n">
        <v>5</v>
      </c>
      <c r="AJ1174" t="n">
        <v>9</v>
      </c>
      <c r="AK1174" t="n">
        <v>11</v>
      </c>
      <c r="AL1174" t="n">
        <v>2</v>
      </c>
      <c r="AM1174" t="n">
        <v>2</v>
      </c>
      <c r="AN1174" t="n">
        <v>0</v>
      </c>
      <c r="AO1174" t="n">
        <v>0</v>
      </c>
      <c r="AP1174" t="inlineStr">
        <is>
          <t>No</t>
        </is>
      </c>
      <c r="AQ1174" t="inlineStr">
        <is>
          <t>Yes</t>
        </is>
      </c>
      <c r="AR1174">
        <f>HYPERLINK("http://catalog.hathitrust.org/Record/000086601","HathiTrust Record")</f>
        <v/>
      </c>
      <c r="AS1174">
        <f>HYPERLINK("https://creighton-primo.hosted.exlibrisgroup.com/primo-explore/search?tab=default_tab&amp;search_scope=EVERYTHING&amp;vid=01CRU&amp;lang=en_US&amp;offset=0&amp;query=any,contains,991004176829702656","Catalog Record")</f>
        <v/>
      </c>
      <c r="AT1174">
        <f>HYPERLINK("http://www.worldcat.org/oclc/2597288","WorldCat Record")</f>
        <v/>
      </c>
      <c r="AU1174" t="inlineStr">
        <is>
          <t>5719797:eng</t>
        </is>
      </c>
      <c r="AV1174" t="inlineStr">
        <is>
          <t>2597288</t>
        </is>
      </c>
      <c r="AW1174" t="inlineStr">
        <is>
          <t>991004176829702656</t>
        </is>
      </c>
      <c r="AX1174" t="inlineStr">
        <is>
          <t>991004176829702656</t>
        </is>
      </c>
      <c r="AY1174" t="inlineStr">
        <is>
          <t>2268765270002656</t>
        </is>
      </c>
      <c r="AZ1174" t="inlineStr">
        <is>
          <t>BOOK</t>
        </is>
      </c>
      <c r="BB1174" t="inlineStr">
        <is>
          <t>9780306309601</t>
        </is>
      </c>
      <c r="BC1174" t="inlineStr">
        <is>
          <t>32285001760056</t>
        </is>
      </c>
      <c r="BD1174" t="inlineStr">
        <is>
          <t>893900912</t>
        </is>
      </c>
    </row>
    <row r="1175">
      <c r="A1175" t="inlineStr">
        <is>
          <t>No</t>
        </is>
      </c>
      <c r="B1175" t="inlineStr">
        <is>
          <t>QD51 .N32 1981</t>
        </is>
      </c>
      <c r="C1175" t="inlineStr">
        <is>
          <t>0                      QD 0051000N  32          1981</t>
        </is>
      </c>
      <c r="D1175" t="inlineStr">
        <is>
          <t>Prudent practices for handling hazardous chemicals in laboratories / Committee on Hazardous Substances in the Laboratory, Assembly of Mathematical and Physical Sciences, National Research Council.</t>
        </is>
      </c>
      <c r="F1175" t="inlineStr">
        <is>
          <t>No</t>
        </is>
      </c>
      <c r="G1175" t="inlineStr">
        <is>
          <t>1</t>
        </is>
      </c>
      <c r="H1175" t="inlineStr">
        <is>
          <t>Yes</t>
        </is>
      </c>
      <c r="I1175" t="inlineStr">
        <is>
          <t>No</t>
        </is>
      </c>
      <c r="J1175" t="inlineStr">
        <is>
          <t>0</t>
        </is>
      </c>
      <c r="K1175" t="inlineStr">
        <is>
          <t>National Research Council (U.S.). Committee on Hazardous Substances in the Laboratory.</t>
        </is>
      </c>
      <c r="L1175" t="inlineStr">
        <is>
          <t>Washington, D.C. : National Academy Press, 1981.</t>
        </is>
      </c>
      <c r="M1175" t="inlineStr">
        <is>
          <t>1981</t>
        </is>
      </c>
      <c r="O1175" t="inlineStr">
        <is>
          <t>eng</t>
        </is>
      </c>
      <c r="P1175" t="inlineStr">
        <is>
          <t>dcu</t>
        </is>
      </c>
      <c r="R1175" t="inlineStr">
        <is>
          <t xml:space="preserve">QD </t>
        </is>
      </c>
      <c r="S1175" t="n">
        <v>3</v>
      </c>
      <c r="T1175" t="n">
        <v>3</v>
      </c>
      <c r="U1175" t="inlineStr">
        <is>
          <t>1995-07-17</t>
        </is>
      </c>
      <c r="V1175" t="inlineStr">
        <is>
          <t>1995-07-17</t>
        </is>
      </c>
      <c r="W1175" t="inlineStr">
        <is>
          <t>1992-07-29</t>
        </is>
      </c>
      <c r="X1175" t="inlineStr">
        <is>
          <t>1992-07-29</t>
        </is>
      </c>
      <c r="Y1175" t="n">
        <v>969</v>
      </c>
      <c r="Z1175" t="n">
        <v>836</v>
      </c>
      <c r="AA1175" t="n">
        <v>856</v>
      </c>
      <c r="AB1175" t="n">
        <v>6</v>
      </c>
      <c r="AC1175" t="n">
        <v>6</v>
      </c>
      <c r="AD1175" t="n">
        <v>19</v>
      </c>
      <c r="AE1175" t="n">
        <v>19</v>
      </c>
      <c r="AF1175" t="n">
        <v>7</v>
      </c>
      <c r="AG1175" t="n">
        <v>7</v>
      </c>
      <c r="AH1175" t="n">
        <v>1</v>
      </c>
      <c r="AI1175" t="n">
        <v>1</v>
      </c>
      <c r="AJ1175" t="n">
        <v>10</v>
      </c>
      <c r="AK1175" t="n">
        <v>10</v>
      </c>
      <c r="AL1175" t="n">
        <v>4</v>
      </c>
      <c r="AM1175" t="n">
        <v>4</v>
      </c>
      <c r="AN1175" t="n">
        <v>0</v>
      </c>
      <c r="AO1175" t="n">
        <v>0</v>
      </c>
      <c r="AP1175" t="inlineStr">
        <is>
          <t>No</t>
        </is>
      </c>
      <c r="AQ1175" t="inlineStr">
        <is>
          <t>Yes</t>
        </is>
      </c>
      <c r="AR1175">
        <f>HYPERLINK("http://catalog.hathitrust.org/Record/000723138","HathiTrust Record")</f>
        <v/>
      </c>
      <c r="AS1175">
        <f>HYPERLINK("https://creighton-primo.hosted.exlibrisgroup.com/primo-explore/search?tab=default_tab&amp;search_scope=EVERYTHING&amp;vid=01CRU&amp;lang=en_US&amp;offset=0&amp;query=any,contains,991005079489702656","Catalog Record")</f>
        <v/>
      </c>
      <c r="AT1175">
        <f>HYPERLINK("http://www.worldcat.org/oclc/7169827","WorldCat Record")</f>
        <v/>
      </c>
      <c r="AU1175" t="inlineStr">
        <is>
          <t>3574363:eng</t>
        </is>
      </c>
      <c r="AV1175" t="inlineStr">
        <is>
          <t>7169827</t>
        </is>
      </c>
      <c r="AW1175" t="inlineStr">
        <is>
          <t>991005079489702656</t>
        </is>
      </c>
      <c r="AX1175" t="inlineStr">
        <is>
          <t>991005079489702656</t>
        </is>
      </c>
      <c r="AY1175" t="inlineStr">
        <is>
          <t>2268717050002656</t>
        </is>
      </c>
      <c r="AZ1175" t="inlineStr">
        <is>
          <t>BOOK</t>
        </is>
      </c>
      <c r="BC1175" t="inlineStr">
        <is>
          <t>32285001240042</t>
        </is>
      </c>
      <c r="BD1175" t="inlineStr">
        <is>
          <t>893905217</t>
        </is>
      </c>
    </row>
    <row r="1176">
      <c r="A1176" t="inlineStr">
        <is>
          <t>No</t>
        </is>
      </c>
      <c r="B1176" t="inlineStr">
        <is>
          <t>QD51 .S92 1990</t>
        </is>
      </c>
      <c r="C1176" t="inlineStr">
        <is>
          <t>0                      QD 0051000S  92          1990</t>
        </is>
      </c>
      <c r="D1176" t="inlineStr">
        <is>
          <t>Laboratory health and safety handbook : a guide for the preparation of a chemical hygiene plan / R. Scott Stricoff, Douglas B. Walters.</t>
        </is>
      </c>
      <c r="F1176" t="inlineStr">
        <is>
          <t>No</t>
        </is>
      </c>
      <c r="G1176" t="inlineStr">
        <is>
          <t>1</t>
        </is>
      </c>
      <c r="H1176" t="inlineStr">
        <is>
          <t>No</t>
        </is>
      </c>
      <c r="I1176" t="inlineStr">
        <is>
          <t>No</t>
        </is>
      </c>
      <c r="J1176" t="inlineStr">
        <is>
          <t>0</t>
        </is>
      </c>
      <c r="K1176" t="inlineStr">
        <is>
          <t>Stricoff, R. Scott.</t>
        </is>
      </c>
      <c r="L1176" t="inlineStr">
        <is>
          <t>New York, N.Y. : Wiley, c1990.</t>
        </is>
      </c>
      <c r="M1176" t="inlineStr">
        <is>
          <t>1990</t>
        </is>
      </c>
      <c r="O1176" t="inlineStr">
        <is>
          <t>eng</t>
        </is>
      </c>
      <c r="P1176" t="inlineStr">
        <is>
          <t>nyu</t>
        </is>
      </c>
      <c r="R1176" t="inlineStr">
        <is>
          <t xml:space="preserve">QD </t>
        </is>
      </c>
      <c r="S1176" t="n">
        <v>2</v>
      </c>
      <c r="T1176" t="n">
        <v>2</v>
      </c>
      <c r="U1176" t="inlineStr">
        <is>
          <t>1995-07-17</t>
        </is>
      </c>
      <c r="V1176" t="inlineStr">
        <is>
          <t>1995-07-17</t>
        </is>
      </c>
      <c r="W1176" t="inlineStr">
        <is>
          <t>1991-05-31</t>
        </is>
      </c>
      <c r="X1176" t="inlineStr">
        <is>
          <t>1991-05-31</t>
        </is>
      </c>
      <c r="Y1176" t="n">
        <v>354</v>
      </c>
      <c r="Z1176" t="n">
        <v>292</v>
      </c>
      <c r="AA1176" t="n">
        <v>300</v>
      </c>
      <c r="AB1176" t="n">
        <v>3</v>
      </c>
      <c r="AC1176" t="n">
        <v>3</v>
      </c>
      <c r="AD1176" t="n">
        <v>8</v>
      </c>
      <c r="AE1176" t="n">
        <v>8</v>
      </c>
      <c r="AF1176" t="n">
        <v>3</v>
      </c>
      <c r="AG1176" t="n">
        <v>3</v>
      </c>
      <c r="AH1176" t="n">
        <v>0</v>
      </c>
      <c r="AI1176" t="n">
        <v>0</v>
      </c>
      <c r="AJ1176" t="n">
        <v>4</v>
      </c>
      <c r="AK1176" t="n">
        <v>4</v>
      </c>
      <c r="AL1176" t="n">
        <v>2</v>
      </c>
      <c r="AM1176" t="n">
        <v>2</v>
      </c>
      <c r="AN1176" t="n">
        <v>0</v>
      </c>
      <c r="AO1176" t="n">
        <v>0</v>
      </c>
      <c r="AP1176" t="inlineStr">
        <is>
          <t>No</t>
        </is>
      </c>
      <c r="AQ1176" t="inlineStr">
        <is>
          <t>Yes</t>
        </is>
      </c>
      <c r="AR1176">
        <f>HYPERLINK("http://catalog.hathitrust.org/Record/002205961","HathiTrust Record")</f>
        <v/>
      </c>
      <c r="AS1176">
        <f>HYPERLINK("https://creighton-primo.hosted.exlibrisgroup.com/primo-explore/search?tab=default_tab&amp;search_scope=EVERYTHING&amp;vid=01CRU&amp;lang=en_US&amp;offset=0&amp;query=any,contains,991001705559702656","Catalog Record")</f>
        <v/>
      </c>
      <c r="AT1176">
        <f>HYPERLINK("http://www.worldcat.org/oclc/21561633","WorldCat Record")</f>
        <v/>
      </c>
      <c r="AU1176" t="inlineStr">
        <is>
          <t>2864243936:eng</t>
        </is>
      </c>
      <c r="AV1176" t="inlineStr">
        <is>
          <t>21561633</t>
        </is>
      </c>
      <c r="AW1176" t="inlineStr">
        <is>
          <t>991001705559702656</t>
        </is>
      </c>
      <c r="AX1176" t="inlineStr">
        <is>
          <t>991001705559702656</t>
        </is>
      </c>
      <c r="AY1176" t="inlineStr">
        <is>
          <t>2264844340002656</t>
        </is>
      </c>
      <c r="AZ1176" t="inlineStr">
        <is>
          <t>BOOK</t>
        </is>
      </c>
      <c r="BB1176" t="inlineStr">
        <is>
          <t>9780471617563</t>
        </is>
      </c>
      <c r="BC1176" t="inlineStr">
        <is>
          <t>32285000591510</t>
        </is>
      </c>
      <c r="BD1176" t="inlineStr">
        <is>
          <t>893232183</t>
        </is>
      </c>
    </row>
    <row r="1177">
      <c r="A1177" t="inlineStr">
        <is>
          <t>No</t>
        </is>
      </c>
      <c r="B1177" t="inlineStr">
        <is>
          <t>QD511 .G34</t>
        </is>
      </c>
      <c r="C1177" t="inlineStr">
        <is>
          <t>0                      QD 0511000G  34</t>
        </is>
      </c>
      <c r="D1177" t="inlineStr">
        <is>
          <t>Entropy and energy levels / [by] R. P. H. Gasser and W. G. Richards.</t>
        </is>
      </c>
      <c r="F1177" t="inlineStr">
        <is>
          <t>No</t>
        </is>
      </c>
      <c r="G1177" t="inlineStr">
        <is>
          <t>1</t>
        </is>
      </c>
      <c r="H1177" t="inlineStr">
        <is>
          <t>No</t>
        </is>
      </c>
      <c r="I1177" t="inlineStr">
        <is>
          <t>No</t>
        </is>
      </c>
      <c r="J1177" t="inlineStr">
        <is>
          <t>0</t>
        </is>
      </c>
      <c r="K1177" t="inlineStr">
        <is>
          <t>Gasser, R. P. H. (Robert Paul Holland)</t>
        </is>
      </c>
      <c r="L1177" t="inlineStr">
        <is>
          <t>Oxford : Clarendon Press, 1974.</t>
        </is>
      </c>
      <c r="M1177" t="inlineStr">
        <is>
          <t>1974</t>
        </is>
      </c>
      <c r="O1177" t="inlineStr">
        <is>
          <t>eng</t>
        </is>
      </c>
      <c r="P1177" t="inlineStr">
        <is>
          <t>enk</t>
        </is>
      </c>
      <c r="Q1177" t="inlineStr">
        <is>
          <t>Oxford chemistry series ; 19</t>
        </is>
      </c>
      <c r="R1177" t="inlineStr">
        <is>
          <t xml:space="preserve">QD </t>
        </is>
      </c>
      <c r="S1177" t="n">
        <v>2</v>
      </c>
      <c r="T1177" t="n">
        <v>2</v>
      </c>
      <c r="U1177" t="inlineStr">
        <is>
          <t>1995-12-21</t>
        </is>
      </c>
      <c r="V1177" t="inlineStr">
        <is>
          <t>1995-12-21</t>
        </is>
      </c>
      <c r="W1177" t="inlineStr">
        <is>
          <t>1994-10-25</t>
        </is>
      </c>
      <c r="X1177" t="inlineStr">
        <is>
          <t>1994-10-25</t>
        </is>
      </c>
      <c r="Y1177" t="n">
        <v>383</v>
      </c>
      <c r="Z1177" t="n">
        <v>240</v>
      </c>
      <c r="AA1177" t="n">
        <v>250</v>
      </c>
      <c r="AB1177" t="n">
        <v>2</v>
      </c>
      <c r="AC1177" t="n">
        <v>2</v>
      </c>
      <c r="AD1177" t="n">
        <v>10</v>
      </c>
      <c r="AE1177" t="n">
        <v>10</v>
      </c>
      <c r="AF1177" t="n">
        <v>3</v>
      </c>
      <c r="AG1177" t="n">
        <v>3</v>
      </c>
      <c r="AH1177" t="n">
        <v>4</v>
      </c>
      <c r="AI1177" t="n">
        <v>4</v>
      </c>
      <c r="AJ1177" t="n">
        <v>6</v>
      </c>
      <c r="AK1177" t="n">
        <v>6</v>
      </c>
      <c r="AL1177" t="n">
        <v>1</v>
      </c>
      <c r="AM1177" t="n">
        <v>1</v>
      </c>
      <c r="AN1177" t="n">
        <v>0</v>
      </c>
      <c r="AO1177" t="n">
        <v>0</v>
      </c>
      <c r="AP1177" t="inlineStr">
        <is>
          <t>No</t>
        </is>
      </c>
      <c r="AQ1177" t="inlineStr">
        <is>
          <t>Yes</t>
        </is>
      </c>
      <c r="AR1177">
        <f>HYPERLINK("http://catalog.hathitrust.org/Record/001034913","HathiTrust Record")</f>
        <v/>
      </c>
      <c r="AS1177">
        <f>HYPERLINK("https://creighton-primo.hosted.exlibrisgroup.com/primo-explore/search?tab=default_tab&amp;search_scope=EVERYTHING&amp;vid=01CRU&amp;lang=en_US&amp;offset=0&amp;query=any,contains,991003528569702656","Catalog Record")</f>
        <v/>
      </c>
      <c r="AT1177">
        <f>HYPERLINK("http://www.worldcat.org/oclc/1092227","WorldCat Record")</f>
        <v/>
      </c>
      <c r="AU1177" t="inlineStr">
        <is>
          <t>416348:eng</t>
        </is>
      </c>
      <c r="AV1177" t="inlineStr">
        <is>
          <t>1092227</t>
        </is>
      </c>
      <c r="AW1177" t="inlineStr">
        <is>
          <t>991003528569702656</t>
        </is>
      </c>
      <c r="AX1177" t="inlineStr">
        <is>
          <t>991003528569702656</t>
        </is>
      </c>
      <c r="AY1177" t="inlineStr">
        <is>
          <t>2266428130002656</t>
        </is>
      </c>
      <c r="AZ1177" t="inlineStr">
        <is>
          <t>BOOK</t>
        </is>
      </c>
      <c r="BB1177" t="inlineStr">
        <is>
          <t>9780198554899</t>
        </is>
      </c>
      <c r="BC1177" t="inlineStr">
        <is>
          <t>32285001963106</t>
        </is>
      </c>
      <c r="BD1177" t="inlineStr">
        <is>
          <t>893234260</t>
        </is>
      </c>
    </row>
    <row r="1178">
      <c r="A1178" t="inlineStr">
        <is>
          <t>No</t>
        </is>
      </c>
      <c r="B1178" t="inlineStr">
        <is>
          <t>QD511 .I58 1979</t>
        </is>
      </c>
      <c r="C1178" t="inlineStr">
        <is>
          <t>0                      QD 0511000I  58          1979</t>
        </is>
      </c>
      <c r="D1178" t="inlineStr">
        <is>
          <t>Experimental chemical thermodynamics / International Union of Pure and Applied Chemistry, Physical Chemistry Division.</t>
        </is>
      </c>
      <c r="E1178" t="inlineStr">
        <is>
          <t>V.1</t>
        </is>
      </c>
      <c r="F1178" t="inlineStr">
        <is>
          <t>No</t>
        </is>
      </c>
      <c r="G1178" t="inlineStr">
        <is>
          <t>1</t>
        </is>
      </c>
      <c r="H1178" t="inlineStr">
        <is>
          <t>No</t>
        </is>
      </c>
      <c r="I1178" t="inlineStr">
        <is>
          <t>No</t>
        </is>
      </c>
      <c r="J1178" t="inlineStr">
        <is>
          <t>0</t>
        </is>
      </c>
      <c r="K1178" t="inlineStr">
        <is>
          <t>International Union of Pure and Applied Chemistry. Physical Chemistry Division.</t>
        </is>
      </c>
      <c r="L1178" t="inlineStr">
        <is>
          <t>Oxford ; New York : Pergamon Press, 1979-</t>
        </is>
      </c>
      <c r="M1178" t="inlineStr">
        <is>
          <t>1978</t>
        </is>
      </c>
      <c r="O1178" t="inlineStr">
        <is>
          <t>eng</t>
        </is>
      </c>
      <c r="P1178" t="inlineStr">
        <is>
          <t>enk</t>
        </is>
      </c>
      <c r="R1178" t="inlineStr">
        <is>
          <t xml:space="preserve">QD </t>
        </is>
      </c>
      <c r="S1178" t="n">
        <v>15</v>
      </c>
      <c r="T1178" t="n">
        <v>15</v>
      </c>
      <c r="U1178" t="inlineStr">
        <is>
          <t>2008-02-18</t>
        </is>
      </c>
      <c r="V1178" t="inlineStr">
        <is>
          <t>2008-02-18</t>
        </is>
      </c>
      <c r="W1178" t="inlineStr">
        <is>
          <t>1993-02-11</t>
        </is>
      </c>
      <c r="X1178" t="inlineStr">
        <is>
          <t>1993-02-11</t>
        </is>
      </c>
      <c r="Y1178" t="n">
        <v>138</v>
      </c>
      <c r="Z1178" t="n">
        <v>119</v>
      </c>
      <c r="AA1178" t="n">
        <v>138</v>
      </c>
      <c r="AB1178" t="n">
        <v>2</v>
      </c>
      <c r="AC1178" t="n">
        <v>2</v>
      </c>
      <c r="AD1178" t="n">
        <v>5</v>
      </c>
      <c r="AE1178" t="n">
        <v>5</v>
      </c>
      <c r="AF1178" t="n">
        <v>1</v>
      </c>
      <c r="AG1178" t="n">
        <v>1</v>
      </c>
      <c r="AH1178" t="n">
        <v>2</v>
      </c>
      <c r="AI1178" t="n">
        <v>2</v>
      </c>
      <c r="AJ1178" t="n">
        <v>2</v>
      </c>
      <c r="AK1178" t="n">
        <v>2</v>
      </c>
      <c r="AL1178" t="n">
        <v>1</v>
      </c>
      <c r="AM1178" t="n">
        <v>1</v>
      </c>
      <c r="AN1178" t="n">
        <v>0</v>
      </c>
      <c r="AO1178" t="n">
        <v>0</v>
      </c>
      <c r="AP1178" t="inlineStr">
        <is>
          <t>No</t>
        </is>
      </c>
      <c r="AQ1178" t="inlineStr">
        <is>
          <t>No</t>
        </is>
      </c>
      <c r="AS1178">
        <f>HYPERLINK("https://creighton-primo.hosted.exlibrisgroup.com/primo-explore/search?tab=default_tab&amp;search_scope=EVERYTHING&amp;vid=01CRU&amp;lang=en_US&amp;offset=0&amp;query=any,contains,991004499179702656","Catalog Record")</f>
        <v/>
      </c>
      <c r="AT1178">
        <f>HYPERLINK("http://www.worldcat.org/oclc/3710491","WorldCat Record")</f>
        <v/>
      </c>
      <c r="AU1178" t="inlineStr">
        <is>
          <t>11891164:eng</t>
        </is>
      </c>
      <c r="AV1178" t="inlineStr">
        <is>
          <t>3710491</t>
        </is>
      </c>
      <c r="AW1178" t="inlineStr">
        <is>
          <t>991004499179702656</t>
        </is>
      </c>
      <c r="AX1178" t="inlineStr">
        <is>
          <t>991004499179702656</t>
        </is>
      </c>
      <c r="AY1178" t="inlineStr">
        <is>
          <t>2259867470002656</t>
        </is>
      </c>
      <c r="AZ1178" t="inlineStr">
        <is>
          <t>BOOK</t>
        </is>
      </c>
      <c r="BB1178" t="inlineStr">
        <is>
          <t>9780080209234</t>
        </is>
      </c>
      <c r="BC1178" t="inlineStr">
        <is>
          <t>32285001517522</t>
        </is>
      </c>
      <c r="BD1178" t="inlineStr">
        <is>
          <t>893901294</t>
        </is>
      </c>
    </row>
    <row r="1179">
      <c r="A1179" t="inlineStr">
        <is>
          <t>No</t>
        </is>
      </c>
      <c r="B1179" t="inlineStr">
        <is>
          <t>QD511 .K31513</t>
        </is>
      </c>
      <c r="C1179" t="inlineStr">
        <is>
          <t>0                      QD 0511000K  31513</t>
        </is>
      </c>
      <c r="D1179" t="inlineStr">
        <is>
          <t>Thermodynamic constants of inorganic and organic compounds / [by] M. Kh. Karapetʹyants and M. L. Karapetʹyants. Translated by J. Schmorak.</t>
        </is>
      </c>
      <c r="F1179" t="inlineStr">
        <is>
          <t>No</t>
        </is>
      </c>
      <c r="G1179" t="inlineStr">
        <is>
          <t>1</t>
        </is>
      </c>
      <c r="H1179" t="inlineStr">
        <is>
          <t>No</t>
        </is>
      </c>
      <c r="I1179" t="inlineStr">
        <is>
          <t>No</t>
        </is>
      </c>
      <c r="J1179" t="inlineStr">
        <is>
          <t>0</t>
        </is>
      </c>
      <c r="K1179" t="inlineStr">
        <is>
          <t>Karapetʹi︠a︡nt︠s︡, M. Kh. (Mikhail Khristoforovich)</t>
        </is>
      </c>
      <c r="L1179" t="inlineStr">
        <is>
          <t>Ann Arbor : Humphrey Science Publishers, 1970.</t>
        </is>
      </c>
      <c r="M1179" t="inlineStr">
        <is>
          <t>1970</t>
        </is>
      </c>
      <c r="O1179" t="inlineStr">
        <is>
          <t>eng</t>
        </is>
      </c>
      <c r="P1179" t="inlineStr">
        <is>
          <t>miu</t>
        </is>
      </c>
      <c r="R1179" t="inlineStr">
        <is>
          <t xml:space="preserve">QD </t>
        </is>
      </c>
      <c r="S1179" t="n">
        <v>4</v>
      </c>
      <c r="T1179" t="n">
        <v>4</v>
      </c>
      <c r="U1179" t="inlineStr">
        <is>
          <t>1994-03-17</t>
        </is>
      </c>
      <c r="V1179" t="inlineStr">
        <is>
          <t>1994-03-17</t>
        </is>
      </c>
      <c r="W1179" t="inlineStr">
        <is>
          <t>1994-03-01</t>
        </is>
      </c>
      <c r="X1179" t="inlineStr">
        <is>
          <t>1994-03-01</t>
        </is>
      </c>
      <c r="Y1179" t="n">
        <v>236</v>
      </c>
      <c r="Z1179" t="n">
        <v>178</v>
      </c>
      <c r="AA1179" t="n">
        <v>178</v>
      </c>
      <c r="AB1179" t="n">
        <v>3</v>
      </c>
      <c r="AC1179" t="n">
        <v>3</v>
      </c>
      <c r="AD1179" t="n">
        <v>4</v>
      </c>
      <c r="AE1179" t="n">
        <v>4</v>
      </c>
      <c r="AF1179" t="n">
        <v>1</v>
      </c>
      <c r="AG1179" t="n">
        <v>1</v>
      </c>
      <c r="AH1179" t="n">
        <v>1</v>
      </c>
      <c r="AI1179" t="n">
        <v>1</v>
      </c>
      <c r="AJ1179" t="n">
        <v>0</v>
      </c>
      <c r="AK1179" t="n">
        <v>0</v>
      </c>
      <c r="AL1179" t="n">
        <v>2</v>
      </c>
      <c r="AM1179" t="n">
        <v>2</v>
      </c>
      <c r="AN1179" t="n">
        <v>0</v>
      </c>
      <c r="AO1179" t="n">
        <v>0</v>
      </c>
      <c r="AP1179" t="inlineStr">
        <is>
          <t>No</t>
        </is>
      </c>
      <c r="AQ1179" t="inlineStr">
        <is>
          <t>No</t>
        </is>
      </c>
      <c r="AS1179">
        <f>HYPERLINK("https://creighton-primo.hosted.exlibrisgroup.com/primo-explore/search?tab=default_tab&amp;search_scope=EVERYTHING&amp;vid=01CRU&amp;lang=en_US&amp;offset=0&amp;query=any,contains,991001273429702656","Catalog Record")</f>
        <v/>
      </c>
      <c r="AT1179">
        <f>HYPERLINK("http://www.worldcat.org/oclc/213089","WorldCat Record")</f>
        <v/>
      </c>
      <c r="AU1179" t="inlineStr">
        <is>
          <t>499994110:eng</t>
        </is>
      </c>
      <c r="AV1179" t="inlineStr">
        <is>
          <t>213089</t>
        </is>
      </c>
      <c r="AW1179" t="inlineStr">
        <is>
          <t>991001273429702656</t>
        </is>
      </c>
      <c r="AX1179" t="inlineStr">
        <is>
          <t>991001273429702656</t>
        </is>
      </c>
      <c r="AY1179" t="inlineStr">
        <is>
          <t>2255389900002656</t>
        </is>
      </c>
      <c r="AZ1179" t="inlineStr">
        <is>
          <t>BOOK</t>
        </is>
      </c>
      <c r="BB1179" t="inlineStr">
        <is>
          <t>9780250864195</t>
        </is>
      </c>
      <c r="BC1179" t="inlineStr">
        <is>
          <t>32285001850881</t>
        </is>
      </c>
      <c r="BD1179" t="inlineStr">
        <is>
          <t>893696625</t>
        </is>
      </c>
    </row>
    <row r="1180">
      <c r="A1180" t="inlineStr">
        <is>
          <t>No</t>
        </is>
      </c>
      <c r="B1180" t="inlineStr">
        <is>
          <t>QD511 .M68</t>
        </is>
      </c>
      <c r="C1180" t="inlineStr">
        <is>
          <t>0                      QD 0511000M  68</t>
        </is>
      </c>
      <c r="D1180" t="inlineStr">
        <is>
          <t>Thermodynamics and its applications / [by] Michael Modell [and] Robert C. Reid.</t>
        </is>
      </c>
      <c r="F1180" t="inlineStr">
        <is>
          <t>No</t>
        </is>
      </c>
      <c r="G1180" t="inlineStr">
        <is>
          <t>1</t>
        </is>
      </c>
      <c r="H1180" t="inlineStr">
        <is>
          <t>No</t>
        </is>
      </c>
      <c r="I1180" t="inlineStr">
        <is>
          <t>No</t>
        </is>
      </c>
      <c r="J1180" t="inlineStr">
        <is>
          <t>0</t>
        </is>
      </c>
      <c r="K1180" t="inlineStr">
        <is>
          <t>Modell, Michael, 1924-</t>
        </is>
      </c>
      <c r="L1180" t="inlineStr">
        <is>
          <t>Englewood Cliffs, N.J. : Prentice-Hall, [1974]</t>
        </is>
      </c>
      <c r="M1180" t="inlineStr">
        <is>
          <t>1974</t>
        </is>
      </c>
      <c r="O1180" t="inlineStr">
        <is>
          <t>eng</t>
        </is>
      </c>
      <c r="P1180" t="inlineStr">
        <is>
          <t>nju</t>
        </is>
      </c>
      <c r="Q1180" t="inlineStr">
        <is>
          <t>Prentice-Hall international series in the physical and chemical engineering sciences</t>
        </is>
      </c>
      <c r="R1180" t="inlineStr">
        <is>
          <t xml:space="preserve">QD </t>
        </is>
      </c>
      <c r="S1180" t="n">
        <v>7</v>
      </c>
      <c r="T1180" t="n">
        <v>7</v>
      </c>
      <c r="U1180" t="inlineStr">
        <is>
          <t>1998-01-02</t>
        </is>
      </c>
      <c r="V1180" t="inlineStr">
        <is>
          <t>1998-01-02</t>
        </is>
      </c>
      <c r="W1180" t="inlineStr">
        <is>
          <t>1995-05-01</t>
        </is>
      </c>
      <c r="X1180" t="inlineStr">
        <is>
          <t>1995-05-01</t>
        </is>
      </c>
      <c r="Y1180" t="n">
        <v>238</v>
      </c>
      <c r="Z1180" t="n">
        <v>154</v>
      </c>
      <c r="AA1180" t="n">
        <v>309</v>
      </c>
      <c r="AB1180" t="n">
        <v>1</v>
      </c>
      <c r="AC1180" t="n">
        <v>2</v>
      </c>
      <c r="AD1180" t="n">
        <v>4</v>
      </c>
      <c r="AE1180" t="n">
        <v>7</v>
      </c>
      <c r="AF1180" t="n">
        <v>0</v>
      </c>
      <c r="AG1180" t="n">
        <v>0</v>
      </c>
      <c r="AH1180" t="n">
        <v>2</v>
      </c>
      <c r="AI1180" t="n">
        <v>3</v>
      </c>
      <c r="AJ1180" t="n">
        <v>3</v>
      </c>
      <c r="AK1180" t="n">
        <v>4</v>
      </c>
      <c r="AL1180" t="n">
        <v>0</v>
      </c>
      <c r="AM1180" t="n">
        <v>1</v>
      </c>
      <c r="AN1180" t="n">
        <v>0</v>
      </c>
      <c r="AO1180" t="n">
        <v>0</v>
      </c>
      <c r="AP1180" t="inlineStr">
        <is>
          <t>No</t>
        </is>
      </c>
      <c r="AQ1180" t="inlineStr">
        <is>
          <t>Yes</t>
        </is>
      </c>
      <c r="AR1180">
        <f>HYPERLINK("http://catalog.hathitrust.org/Record/001021928","HathiTrust Record")</f>
        <v/>
      </c>
      <c r="AS1180">
        <f>HYPERLINK("https://creighton-primo.hosted.exlibrisgroup.com/primo-explore/search?tab=default_tab&amp;search_scope=EVERYTHING&amp;vid=01CRU&amp;lang=en_US&amp;offset=0&amp;query=any,contains,991003229899702656","Catalog Record")</f>
        <v/>
      </c>
      <c r="AT1180">
        <f>HYPERLINK("http://www.worldcat.org/oclc/754583","WorldCat Record")</f>
        <v/>
      </c>
      <c r="AU1180" t="inlineStr">
        <is>
          <t>412501:eng</t>
        </is>
      </c>
      <c r="AV1180" t="inlineStr">
        <is>
          <t>754583</t>
        </is>
      </c>
      <c r="AW1180" t="inlineStr">
        <is>
          <t>991003229899702656</t>
        </is>
      </c>
      <c r="AX1180" t="inlineStr">
        <is>
          <t>991003229899702656</t>
        </is>
      </c>
      <c r="AY1180" t="inlineStr">
        <is>
          <t>2267642700002656</t>
        </is>
      </c>
      <c r="AZ1180" t="inlineStr">
        <is>
          <t>BOOK</t>
        </is>
      </c>
      <c r="BB1180" t="inlineStr">
        <is>
          <t>9780139148613</t>
        </is>
      </c>
      <c r="BC1180" t="inlineStr">
        <is>
          <t>32285002029766</t>
        </is>
      </c>
      <c r="BD1180" t="inlineStr">
        <is>
          <t>893774532</t>
        </is>
      </c>
    </row>
    <row r="1181">
      <c r="A1181" t="inlineStr">
        <is>
          <t>No</t>
        </is>
      </c>
      <c r="B1181" t="inlineStr">
        <is>
          <t>QD511 .S9 1963</t>
        </is>
      </c>
      <c r="C1181" t="inlineStr">
        <is>
          <t>0                      QD 0511000S  9           1963</t>
        </is>
      </c>
      <c r="D1181" t="inlineStr">
        <is>
          <t>Thermodynamics and thermochemistry; plenary lectures.</t>
        </is>
      </c>
      <c r="F1181" t="inlineStr">
        <is>
          <t>No</t>
        </is>
      </c>
      <c r="G1181" t="inlineStr">
        <is>
          <t>1</t>
        </is>
      </c>
      <c r="H1181" t="inlineStr">
        <is>
          <t>No</t>
        </is>
      </c>
      <c r="I1181" t="inlineStr">
        <is>
          <t>No</t>
        </is>
      </c>
      <c r="J1181" t="inlineStr">
        <is>
          <t>0</t>
        </is>
      </c>
      <c r="K1181" t="inlineStr">
        <is>
          <t>Symposium on Thermodynamics and Thermochemistry (1963 : Lund, Sweden)</t>
        </is>
      </c>
      <c r="L1181" t="inlineStr">
        <is>
          <t>London, Butterworths, 1964.</t>
        </is>
      </c>
      <c r="M1181" t="inlineStr">
        <is>
          <t>1964</t>
        </is>
      </c>
      <c r="O1181" t="inlineStr">
        <is>
          <t>eng</t>
        </is>
      </c>
      <c r="P1181" t="inlineStr">
        <is>
          <t>enk</t>
        </is>
      </c>
      <c r="R1181" t="inlineStr">
        <is>
          <t xml:space="preserve">QD </t>
        </is>
      </c>
      <c r="S1181" t="n">
        <v>2</v>
      </c>
      <c r="T1181" t="n">
        <v>2</v>
      </c>
      <c r="U1181" t="inlineStr">
        <is>
          <t>1998-01-02</t>
        </is>
      </c>
      <c r="V1181" t="inlineStr">
        <is>
          <t>1998-01-02</t>
        </is>
      </c>
      <c r="W1181" t="inlineStr">
        <is>
          <t>1997-06-17</t>
        </is>
      </c>
      <c r="X1181" t="inlineStr">
        <is>
          <t>1997-06-17</t>
        </is>
      </c>
      <c r="Y1181" t="n">
        <v>94</v>
      </c>
      <c r="Z1181" t="n">
        <v>56</v>
      </c>
      <c r="AA1181" t="n">
        <v>58</v>
      </c>
      <c r="AB1181" t="n">
        <v>1</v>
      </c>
      <c r="AC1181" t="n">
        <v>1</v>
      </c>
      <c r="AD1181" t="n">
        <v>0</v>
      </c>
      <c r="AE1181" t="n">
        <v>0</v>
      </c>
      <c r="AF1181" t="n">
        <v>0</v>
      </c>
      <c r="AG1181" t="n">
        <v>0</v>
      </c>
      <c r="AH1181" t="n">
        <v>0</v>
      </c>
      <c r="AI1181" t="n">
        <v>0</v>
      </c>
      <c r="AJ1181" t="n">
        <v>0</v>
      </c>
      <c r="AK1181" t="n">
        <v>0</v>
      </c>
      <c r="AL1181" t="n">
        <v>0</v>
      </c>
      <c r="AM1181" t="n">
        <v>0</v>
      </c>
      <c r="AN1181" t="n">
        <v>0</v>
      </c>
      <c r="AO1181" t="n">
        <v>0</v>
      </c>
      <c r="AP1181" t="inlineStr">
        <is>
          <t>No</t>
        </is>
      </c>
      <c r="AQ1181" t="inlineStr">
        <is>
          <t>Yes</t>
        </is>
      </c>
      <c r="AR1181">
        <f>HYPERLINK("http://catalog.hathitrust.org/Record/102422427","HathiTrust Record")</f>
        <v/>
      </c>
      <c r="AS1181">
        <f>HYPERLINK("https://creighton-primo.hosted.exlibrisgroup.com/primo-explore/search?tab=default_tab&amp;search_scope=EVERYTHING&amp;vid=01CRU&amp;lang=en_US&amp;offset=0&amp;query=any,contains,991004098139702656","Catalog Record")</f>
        <v/>
      </c>
      <c r="AT1181">
        <f>HYPERLINK("http://www.worldcat.org/oclc/2364118","WorldCat Record")</f>
        <v/>
      </c>
      <c r="AU1181" t="inlineStr">
        <is>
          <t>4020196473:eng</t>
        </is>
      </c>
      <c r="AV1181" t="inlineStr">
        <is>
          <t>2364118</t>
        </is>
      </c>
      <c r="AW1181" t="inlineStr">
        <is>
          <t>991004098139702656</t>
        </is>
      </c>
      <c r="AX1181" t="inlineStr">
        <is>
          <t>991004098139702656</t>
        </is>
      </c>
      <c r="AY1181" t="inlineStr">
        <is>
          <t>2264386820002656</t>
        </is>
      </c>
      <c r="AZ1181" t="inlineStr">
        <is>
          <t>BOOK</t>
        </is>
      </c>
      <c r="BC1181" t="inlineStr">
        <is>
          <t>32285002808292</t>
        </is>
      </c>
      <c r="BD1181" t="inlineStr">
        <is>
          <t>893900791</t>
        </is>
      </c>
    </row>
    <row r="1182">
      <c r="A1182" t="inlineStr">
        <is>
          <t>No</t>
        </is>
      </c>
      <c r="B1182" t="inlineStr">
        <is>
          <t>QD511.8 .J36 1986</t>
        </is>
      </c>
      <c r="C1182" t="inlineStr">
        <is>
          <t>0                      QD 0511800J  36          1986</t>
        </is>
      </c>
      <c r="D1182" t="inlineStr">
        <is>
          <t>JANAF thermochemical tables / M.W. Chase ... [et al.].</t>
        </is>
      </c>
      <c r="F1182" t="inlineStr">
        <is>
          <t>Yes</t>
        </is>
      </c>
      <c r="G1182" t="inlineStr">
        <is>
          <t>1</t>
        </is>
      </c>
      <c r="H1182" t="inlineStr">
        <is>
          <t>Yes</t>
        </is>
      </c>
      <c r="I1182" t="inlineStr">
        <is>
          <t>No</t>
        </is>
      </c>
      <c r="J1182" t="inlineStr">
        <is>
          <t>0</t>
        </is>
      </c>
      <c r="L1182" t="inlineStr">
        <is>
          <t>Washington, D.C. : American Chemical Society ; New York : American Institute of Physics for the National Bureau of Standards, c1986.</t>
        </is>
      </c>
      <c r="M1182" t="inlineStr">
        <is>
          <t>1986</t>
        </is>
      </c>
      <c r="N1182" t="inlineStr">
        <is>
          <t>3rd ed.</t>
        </is>
      </c>
      <c r="O1182" t="inlineStr">
        <is>
          <t>eng</t>
        </is>
      </c>
      <c r="P1182" t="inlineStr">
        <is>
          <t>dcu</t>
        </is>
      </c>
      <c r="R1182" t="inlineStr">
        <is>
          <t xml:space="preserve">QD </t>
        </is>
      </c>
      <c r="S1182" t="n">
        <v>3</v>
      </c>
      <c r="T1182" t="n">
        <v>4</v>
      </c>
      <c r="U1182" t="inlineStr">
        <is>
          <t>1994-04-06</t>
        </is>
      </c>
      <c r="V1182" t="inlineStr">
        <is>
          <t>1994-04-06</t>
        </is>
      </c>
      <c r="W1182" t="inlineStr">
        <is>
          <t>1990-07-17</t>
        </is>
      </c>
      <c r="X1182" t="inlineStr">
        <is>
          <t>1990-07-17</t>
        </is>
      </c>
      <c r="Y1182" t="n">
        <v>462</v>
      </c>
      <c r="Z1182" t="n">
        <v>393</v>
      </c>
      <c r="AA1182" t="n">
        <v>397</v>
      </c>
      <c r="AB1182" t="n">
        <v>4</v>
      </c>
      <c r="AC1182" t="n">
        <v>4</v>
      </c>
      <c r="AD1182" t="n">
        <v>10</v>
      </c>
      <c r="AE1182" t="n">
        <v>10</v>
      </c>
      <c r="AF1182" t="n">
        <v>3</v>
      </c>
      <c r="AG1182" t="n">
        <v>3</v>
      </c>
      <c r="AH1182" t="n">
        <v>2</v>
      </c>
      <c r="AI1182" t="n">
        <v>2</v>
      </c>
      <c r="AJ1182" t="n">
        <v>6</v>
      </c>
      <c r="AK1182" t="n">
        <v>6</v>
      </c>
      <c r="AL1182" t="n">
        <v>3</v>
      </c>
      <c r="AM1182" t="n">
        <v>3</v>
      </c>
      <c r="AN1182" t="n">
        <v>0</v>
      </c>
      <c r="AO1182" t="n">
        <v>0</v>
      </c>
      <c r="AP1182" t="inlineStr">
        <is>
          <t>No</t>
        </is>
      </c>
      <c r="AQ1182" t="inlineStr">
        <is>
          <t>Yes</t>
        </is>
      </c>
      <c r="AR1182">
        <f>HYPERLINK("http://catalog.hathitrust.org/Record/000485978","HathiTrust Record")</f>
        <v/>
      </c>
      <c r="AS1182">
        <f>HYPERLINK("https://creighton-primo.hosted.exlibrisgroup.com/primo-explore/search?tab=default_tab&amp;search_scope=EVERYTHING&amp;vid=01CRU&amp;lang=en_US&amp;offset=0&amp;query=any,contains,991000984329702656","Catalog Record")</f>
        <v/>
      </c>
      <c r="AT1182">
        <f>HYPERLINK("http://www.worldcat.org/oclc/15055442","WorldCat Record")</f>
        <v/>
      </c>
      <c r="AU1182" t="inlineStr">
        <is>
          <t>9165282112:eng</t>
        </is>
      </c>
      <c r="AV1182" t="inlineStr">
        <is>
          <t>15055442</t>
        </is>
      </c>
      <c r="AW1182" t="inlineStr">
        <is>
          <t>991000984329702656</t>
        </is>
      </c>
      <c r="AX1182" t="inlineStr">
        <is>
          <t>991000984329702656</t>
        </is>
      </c>
      <c r="AY1182" t="inlineStr">
        <is>
          <t>2260877290002656</t>
        </is>
      </c>
      <c r="AZ1182" t="inlineStr">
        <is>
          <t>BOOK</t>
        </is>
      </c>
      <c r="BB1182" t="inlineStr">
        <is>
          <t>9780883184738</t>
        </is>
      </c>
      <c r="BC1182" t="inlineStr">
        <is>
          <t>32285000208891</t>
        </is>
      </c>
      <c r="BD1182" t="inlineStr">
        <is>
          <t>893791060</t>
        </is>
      </c>
    </row>
    <row r="1183">
      <c r="A1183" t="inlineStr">
        <is>
          <t>No</t>
        </is>
      </c>
      <c r="B1183" t="inlineStr">
        <is>
          <t>QD511.8 .J36 1986 PT.2</t>
        </is>
      </c>
      <c r="C1183" t="inlineStr">
        <is>
          <t>0                      QD 0511800J  36          1986                                        PT.2</t>
        </is>
      </c>
      <c r="D1183" t="inlineStr">
        <is>
          <t>JANAF thermochemical tables / M.W. Chase ... [et al.].</t>
        </is>
      </c>
      <c r="E1183" t="inlineStr">
        <is>
          <t>PT.2*</t>
        </is>
      </c>
      <c r="F1183" t="inlineStr">
        <is>
          <t>Yes</t>
        </is>
      </c>
      <c r="G1183" t="inlineStr">
        <is>
          <t>1</t>
        </is>
      </c>
      <c r="H1183" t="inlineStr">
        <is>
          <t>No</t>
        </is>
      </c>
      <c r="I1183" t="inlineStr">
        <is>
          <t>No</t>
        </is>
      </c>
      <c r="J1183" t="inlineStr">
        <is>
          <t>0</t>
        </is>
      </c>
      <c r="L1183" t="inlineStr">
        <is>
          <t>Washington, D.C. : American Chemical Society ; New York : American Institute of Physics for the National Bureau of Standards, c1986.</t>
        </is>
      </c>
      <c r="M1183" t="inlineStr">
        <is>
          <t>1986</t>
        </is>
      </c>
      <c r="N1183" t="inlineStr">
        <is>
          <t>3rd ed.</t>
        </is>
      </c>
      <c r="O1183" t="inlineStr">
        <is>
          <t>eng</t>
        </is>
      </c>
      <c r="P1183" t="inlineStr">
        <is>
          <t>dcu</t>
        </is>
      </c>
      <c r="R1183" t="inlineStr">
        <is>
          <t xml:space="preserve">QD </t>
        </is>
      </c>
      <c r="S1183" t="n">
        <v>1</v>
      </c>
      <c r="T1183" t="n">
        <v>4</v>
      </c>
      <c r="V1183" t="inlineStr">
        <is>
          <t>1994-04-06</t>
        </is>
      </c>
      <c r="W1183" t="inlineStr">
        <is>
          <t>1990-07-17</t>
        </is>
      </c>
      <c r="X1183" t="inlineStr">
        <is>
          <t>1990-07-17</t>
        </is>
      </c>
      <c r="Y1183" t="n">
        <v>462</v>
      </c>
      <c r="Z1183" t="n">
        <v>393</v>
      </c>
      <c r="AA1183" t="n">
        <v>397</v>
      </c>
      <c r="AB1183" t="n">
        <v>4</v>
      </c>
      <c r="AC1183" t="n">
        <v>4</v>
      </c>
      <c r="AD1183" t="n">
        <v>10</v>
      </c>
      <c r="AE1183" t="n">
        <v>10</v>
      </c>
      <c r="AF1183" t="n">
        <v>3</v>
      </c>
      <c r="AG1183" t="n">
        <v>3</v>
      </c>
      <c r="AH1183" t="n">
        <v>2</v>
      </c>
      <c r="AI1183" t="n">
        <v>2</v>
      </c>
      <c r="AJ1183" t="n">
        <v>6</v>
      </c>
      <c r="AK1183" t="n">
        <v>6</v>
      </c>
      <c r="AL1183" t="n">
        <v>3</v>
      </c>
      <c r="AM1183" t="n">
        <v>3</v>
      </c>
      <c r="AN1183" t="n">
        <v>0</v>
      </c>
      <c r="AO1183" t="n">
        <v>0</v>
      </c>
      <c r="AP1183" t="inlineStr">
        <is>
          <t>No</t>
        </is>
      </c>
      <c r="AQ1183" t="inlineStr">
        <is>
          <t>Yes</t>
        </is>
      </c>
      <c r="AR1183">
        <f>HYPERLINK("http://catalog.hathitrust.org/Record/000485978","HathiTrust Record")</f>
        <v/>
      </c>
      <c r="AS1183">
        <f>HYPERLINK("https://creighton-primo.hosted.exlibrisgroup.com/primo-explore/search?tab=default_tab&amp;search_scope=EVERYTHING&amp;vid=01CRU&amp;lang=en_US&amp;offset=0&amp;query=any,contains,991000984329702656","Catalog Record")</f>
        <v/>
      </c>
      <c r="AT1183">
        <f>HYPERLINK("http://www.worldcat.org/oclc/15055442","WorldCat Record")</f>
        <v/>
      </c>
      <c r="AU1183" t="inlineStr">
        <is>
          <t>9165282112:eng</t>
        </is>
      </c>
      <c r="AV1183" t="inlineStr">
        <is>
          <t>15055442</t>
        </is>
      </c>
      <c r="AW1183" t="inlineStr">
        <is>
          <t>991000984329702656</t>
        </is>
      </c>
      <c r="AX1183" t="inlineStr">
        <is>
          <t>991000984329702656</t>
        </is>
      </c>
      <c r="AY1183" t="inlineStr">
        <is>
          <t>2260877290002656</t>
        </is>
      </c>
      <c r="AZ1183" t="inlineStr">
        <is>
          <t>BOOK</t>
        </is>
      </c>
      <c r="BB1183" t="inlineStr">
        <is>
          <t>9780883184738</t>
        </is>
      </c>
      <c r="BC1183" t="inlineStr">
        <is>
          <t>32285000208909</t>
        </is>
      </c>
      <c r="BD1183" t="inlineStr">
        <is>
          <t>893784708</t>
        </is>
      </c>
    </row>
    <row r="1184">
      <c r="A1184" t="inlineStr">
        <is>
          <t>No</t>
        </is>
      </c>
      <c r="B1184" t="inlineStr">
        <is>
          <t>QD511.P75 T7</t>
        </is>
      </c>
      <c r="C1184" t="inlineStr">
        <is>
          <t>0                      QD 0511000P  75                 T  7</t>
        </is>
      </c>
      <c r="D1184" t="inlineStr">
        <is>
          <t>Treatise on thermodynamics, based on the methods of Gibbs and De Donder / [by] I. Prigogine and R. Defay. [Translated and rev. by D.H. Everett]</t>
        </is>
      </c>
      <c r="E1184" t="inlineStr">
        <is>
          <t>V.1</t>
        </is>
      </c>
      <c r="F1184" t="inlineStr">
        <is>
          <t>No</t>
        </is>
      </c>
      <c r="G1184" t="inlineStr">
        <is>
          <t>1</t>
        </is>
      </c>
      <c r="H1184" t="inlineStr">
        <is>
          <t>No</t>
        </is>
      </c>
      <c r="I1184" t="inlineStr">
        <is>
          <t>No</t>
        </is>
      </c>
      <c r="J1184" t="inlineStr">
        <is>
          <t>0</t>
        </is>
      </c>
      <c r="K1184" t="inlineStr">
        <is>
          <t>Prigogine, I. (Ilya)</t>
        </is>
      </c>
      <c r="L1184" t="inlineStr">
        <is>
          <t>New York : J. Wiley, [1962-</t>
        </is>
      </c>
      <c r="M1184" t="inlineStr">
        <is>
          <t>1962</t>
        </is>
      </c>
      <c r="O1184" t="inlineStr">
        <is>
          <t>eng</t>
        </is>
      </c>
      <c r="P1184" t="inlineStr">
        <is>
          <t>nyu</t>
        </is>
      </c>
      <c r="R1184" t="inlineStr">
        <is>
          <t xml:space="preserve">QD </t>
        </is>
      </c>
      <c r="S1184" t="n">
        <v>9</v>
      </c>
      <c r="T1184" t="n">
        <v>9</v>
      </c>
      <c r="U1184" t="inlineStr">
        <is>
          <t>2001-03-03</t>
        </is>
      </c>
      <c r="V1184" t="inlineStr">
        <is>
          <t>2001-03-03</t>
        </is>
      </c>
      <c r="W1184" t="inlineStr">
        <is>
          <t>1995-01-03</t>
        </is>
      </c>
      <c r="X1184" t="inlineStr">
        <is>
          <t>1995-01-03</t>
        </is>
      </c>
      <c r="Y1184" t="n">
        <v>5</v>
      </c>
      <c r="Z1184" t="n">
        <v>5</v>
      </c>
      <c r="AA1184" t="n">
        <v>5</v>
      </c>
      <c r="AB1184" t="n">
        <v>1</v>
      </c>
      <c r="AC1184" t="n">
        <v>1</v>
      </c>
      <c r="AD1184" t="n">
        <v>1</v>
      </c>
      <c r="AE1184" t="n">
        <v>1</v>
      </c>
      <c r="AF1184" t="n">
        <v>0</v>
      </c>
      <c r="AG1184" t="n">
        <v>0</v>
      </c>
      <c r="AH1184" t="n">
        <v>0</v>
      </c>
      <c r="AI1184" t="n">
        <v>0</v>
      </c>
      <c r="AJ1184" t="n">
        <v>1</v>
      </c>
      <c r="AK1184" t="n">
        <v>1</v>
      </c>
      <c r="AL1184" t="n">
        <v>0</v>
      </c>
      <c r="AM1184" t="n">
        <v>0</v>
      </c>
      <c r="AN1184" t="n">
        <v>0</v>
      </c>
      <c r="AO1184" t="n">
        <v>0</v>
      </c>
      <c r="AP1184" t="inlineStr">
        <is>
          <t>No</t>
        </is>
      </c>
      <c r="AQ1184" t="inlineStr">
        <is>
          <t>No</t>
        </is>
      </c>
      <c r="AS1184">
        <f>HYPERLINK("https://creighton-primo.hosted.exlibrisgroup.com/primo-explore/search?tab=default_tab&amp;search_scope=EVERYTHING&amp;vid=01CRU&amp;lang=en_US&amp;offset=0&amp;query=any,contains,991000604359702656","Catalog Record")</f>
        <v/>
      </c>
      <c r="AT1184">
        <f>HYPERLINK("http://www.worldcat.org/oclc/11851465","WorldCat Record")</f>
        <v/>
      </c>
      <c r="AU1184" t="inlineStr">
        <is>
          <t>5608770133:eng</t>
        </is>
      </c>
      <c r="AV1184" t="inlineStr">
        <is>
          <t>11851465</t>
        </is>
      </c>
      <c r="AW1184" t="inlineStr">
        <is>
          <t>991000604359702656</t>
        </is>
      </c>
      <c r="AX1184" t="inlineStr">
        <is>
          <t>991000604359702656</t>
        </is>
      </c>
      <c r="AY1184" t="inlineStr">
        <is>
          <t>2263020930002656</t>
        </is>
      </c>
      <c r="AZ1184" t="inlineStr">
        <is>
          <t>BOOK</t>
        </is>
      </c>
      <c r="BC1184" t="inlineStr">
        <is>
          <t>32285001985703</t>
        </is>
      </c>
      <c r="BD1184" t="inlineStr">
        <is>
          <t>893243412</t>
        </is>
      </c>
    </row>
    <row r="1185">
      <c r="A1185" t="inlineStr">
        <is>
          <t>No</t>
        </is>
      </c>
      <c r="B1185" t="inlineStr">
        <is>
          <t>QD515 .G3</t>
        </is>
      </c>
      <c r="C1185" t="inlineStr">
        <is>
          <t>0                      QD 0515000G  3</t>
        </is>
      </c>
      <c r="D1185" t="inlineStr">
        <is>
          <t>Thermoanalytical methods of investigation, by Paul D. Garn.</t>
        </is>
      </c>
      <c r="F1185" t="inlineStr">
        <is>
          <t>No</t>
        </is>
      </c>
      <c r="G1185" t="inlineStr">
        <is>
          <t>1</t>
        </is>
      </c>
      <c r="H1185" t="inlineStr">
        <is>
          <t>No</t>
        </is>
      </c>
      <c r="I1185" t="inlineStr">
        <is>
          <t>No</t>
        </is>
      </c>
      <c r="J1185" t="inlineStr">
        <is>
          <t>0</t>
        </is>
      </c>
      <c r="K1185" t="inlineStr">
        <is>
          <t>Garn, Paul D.</t>
        </is>
      </c>
      <c r="L1185" t="inlineStr">
        <is>
          <t>New York, Academic Press, 1965.</t>
        </is>
      </c>
      <c r="M1185" t="inlineStr">
        <is>
          <t>1965</t>
        </is>
      </c>
      <c r="O1185" t="inlineStr">
        <is>
          <t>eng</t>
        </is>
      </c>
      <c r="P1185" t="inlineStr">
        <is>
          <t>nyu</t>
        </is>
      </c>
      <c r="R1185" t="inlineStr">
        <is>
          <t xml:space="preserve">QD </t>
        </is>
      </c>
      <c r="S1185" t="n">
        <v>4</v>
      </c>
      <c r="T1185" t="n">
        <v>4</v>
      </c>
      <c r="U1185" t="inlineStr">
        <is>
          <t>2007-02-06</t>
        </is>
      </c>
      <c r="V1185" t="inlineStr">
        <is>
          <t>2007-02-06</t>
        </is>
      </c>
      <c r="W1185" t="inlineStr">
        <is>
          <t>1997-06-17</t>
        </is>
      </c>
      <c r="X1185" t="inlineStr">
        <is>
          <t>1997-06-17</t>
        </is>
      </c>
      <c r="Y1185" t="n">
        <v>521</v>
      </c>
      <c r="Z1185" t="n">
        <v>373</v>
      </c>
      <c r="AA1185" t="n">
        <v>375</v>
      </c>
      <c r="AB1185" t="n">
        <v>2</v>
      </c>
      <c r="AC1185" t="n">
        <v>2</v>
      </c>
      <c r="AD1185" t="n">
        <v>13</v>
      </c>
      <c r="AE1185" t="n">
        <v>13</v>
      </c>
      <c r="AF1185" t="n">
        <v>2</v>
      </c>
      <c r="AG1185" t="n">
        <v>2</v>
      </c>
      <c r="AH1185" t="n">
        <v>3</v>
      </c>
      <c r="AI1185" t="n">
        <v>3</v>
      </c>
      <c r="AJ1185" t="n">
        <v>9</v>
      </c>
      <c r="AK1185" t="n">
        <v>9</v>
      </c>
      <c r="AL1185" t="n">
        <v>1</v>
      </c>
      <c r="AM1185" t="n">
        <v>1</v>
      </c>
      <c r="AN1185" t="n">
        <v>0</v>
      </c>
      <c r="AO1185" t="n">
        <v>0</v>
      </c>
      <c r="AP1185" t="inlineStr">
        <is>
          <t>No</t>
        </is>
      </c>
      <c r="AQ1185" t="inlineStr">
        <is>
          <t>Yes</t>
        </is>
      </c>
      <c r="AR1185">
        <f>HYPERLINK("http://catalog.hathitrust.org/Record/001114253","HathiTrust Record")</f>
        <v/>
      </c>
      <c r="AS1185">
        <f>HYPERLINK("https://creighton-primo.hosted.exlibrisgroup.com/primo-explore/search?tab=default_tab&amp;search_scope=EVERYTHING&amp;vid=01CRU&amp;lang=en_US&amp;offset=0&amp;query=any,contains,991002960379702656","Catalog Record")</f>
        <v/>
      </c>
      <c r="AT1185">
        <f>HYPERLINK("http://www.worldcat.org/oclc/543726","WorldCat Record")</f>
        <v/>
      </c>
      <c r="AU1185" t="inlineStr">
        <is>
          <t>1574192:eng</t>
        </is>
      </c>
      <c r="AV1185" t="inlineStr">
        <is>
          <t>543726</t>
        </is>
      </c>
      <c r="AW1185" t="inlineStr">
        <is>
          <t>991002960379702656</t>
        </is>
      </c>
      <c r="AX1185" t="inlineStr">
        <is>
          <t>991002960379702656</t>
        </is>
      </c>
      <c r="AY1185" t="inlineStr">
        <is>
          <t>2265399910002656</t>
        </is>
      </c>
      <c r="AZ1185" t="inlineStr">
        <is>
          <t>BOOK</t>
        </is>
      </c>
      <c r="BC1185" t="inlineStr">
        <is>
          <t>32285002808300</t>
        </is>
      </c>
      <c r="BD1185" t="inlineStr">
        <is>
          <t>893598108</t>
        </is>
      </c>
    </row>
    <row r="1186">
      <c r="A1186" t="inlineStr">
        <is>
          <t>No</t>
        </is>
      </c>
      <c r="B1186" t="inlineStr">
        <is>
          <t>QD515 .L5</t>
        </is>
      </c>
      <c r="C1186" t="inlineStr">
        <is>
          <t>0                      QD 0515000L  5</t>
        </is>
      </c>
      <c r="D1186" t="inlineStr">
        <is>
          <t>Atlas of thermoanalytical curves (TG-, DTG-, DTA-curves measured simultaneously), edited by G. Liptay.</t>
        </is>
      </c>
      <c r="F1186" t="inlineStr">
        <is>
          <t>No</t>
        </is>
      </c>
      <c r="G1186" t="inlineStr">
        <is>
          <t>1</t>
        </is>
      </c>
      <c r="H1186" t="inlineStr">
        <is>
          <t>No</t>
        </is>
      </c>
      <c r="I1186" t="inlineStr">
        <is>
          <t>No</t>
        </is>
      </c>
      <c r="J1186" t="inlineStr">
        <is>
          <t>0</t>
        </is>
      </c>
      <c r="K1186" t="inlineStr">
        <is>
          <t>Liptay, György, 1932-</t>
        </is>
      </c>
      <c r="L1186" t="inlineStr">
        <is>
          <t>London, New York, Heyden [1971-</t>
        </is>
      </c>
      <c r="M1186" t="inlineStr">
        <is>
          <t>1971</t>
        </is>
      </c>
      <c r="O1186" t="inlineStr">
        <is>
          <t>eng</t>
        </is>
      </c>
      <c r="P1186" t="inlineStr">
        <is>
          <t xml:space="preserve">xx </t>
        </is>
      </c>
      <c r="R1186" t="inlineStr">
        <is>
          <t xml:space="preserve">QD </t>
        </is>
      </c>
      <c r="S1186" t="n">
        <v>7</v>
      </c>
      <c r="T1186" t="n">
        <v>7</v>
      </c>
      <c r="U1186" t="inlineStr">
        <is>
          <t>2007-02-06</t>
        </is>
      </c>
      <c r="V1186" t="inlineStr">
        <is>
          <t>2007-02-06</t>
        </is>
      </c>
      <c r="W1186" t="inlineStr">
        <is>
          <t>1997-06-17</t>
        </is>
      </c>
      <c r="X1186" t="inlineStr">
        <is>
          <t>1997-06-17</t>
        </is>
      </c>
      <c r="Y1186" t="n">
        <v>72</v>
      </c>
      <c r="Z1186" t="n">
        <v>48</v>
      </c>
      <c r="AA1186" t="n">
        <v>54</v>
      </c>
      <c r="AB1186" t="n">
        <v>2</v>
      </c>
      <c r="AC1186" t="n">
        <v>2</v>
      </c>
      <c r="AD1186" t="n">
        <v>1</v>
      </c>
      <c r="AE1186" t="n">
        <v>1</v>
      </c>
      <c r="AF1186" t="n">
        <v>0</v>
      </c>
      <c r="AG1186" t="n">
        <v>0</v>
      </c>
      <c r="AH1186" t="n">
        <v>0</v>
      </c>
      <c r="AI1186" t="n">
        <v>0</v>
      </c>
      <c r="AJ1186" t="n">
        <v>0</v>
      </c>
      <c r="AK1186" t="n">
        <v>0</v>
      </c>
      <c r="AL1186" t="n">
        <v>1</v>
      </c>
      <c r="AM1186" t="n">
        <v>1</v>
      </c>
      <c r="AN1186" t="n">
        <v>0</v>
      </c>
      <c r="AO1186" t="n">
        <v>0</v>
      </c>
      <c r="AP1186" t="inlineStr">
        <is>
          <t>No</t>
        </is>
      </c>
      <c r="AQ1186" t="inlineStr">
        <is>
          <t>Yes</t>
        </is>
      </c>
      <c r="AR1186">
        <f>HYPERLINK("http://catalog.hathitrust.org/Record/000224796","HathiTrust Record")</f>
        <v/>
      </c>
      <c r="AS1186">
        <f>HYPERLINK("https://creighton-primo.hosted.exlibrisgroup.com/primo-explore/search?tab=default_tab&amp;search_scope=EVERYTHING&amp;vid=01CRU&amp;lang=en_US&amp;offset=0&amp;query=any,contains,991003564199702656","Catalog Record")</f>
        <v/>
      </c>
      <c r="AT1186">
        <f>HYPERLINK("http://www.worldcat.org/oclc/3120365","WorldCat Record")</f>
        <v/>
      </c>
      <c r="AU1186" t="inlineStr">
        <is>
          <t>8113252:eng</t>
        </is>
      </c>
      <c r="AV1186" t="inlineStr">
        <is>
          <t>3120365</t>
        </is>
      </c>
      <c r="AW1186" t="inlineStr">
        <is>
          <t>991003564199702656</t>
        </is>
      </c>
      <c r="AX1186" t="inlineStr">
        <is>
          <t>991003564199702656</t>
        </is>
      </c>
      <c r="AY1186" t="inlineStr">
        <is>
          <t>2266492200002656</t>
        </is>
      </c>
      <c r="AZ1186" t="inlineStr">
        <is>
          <t>BOOK</t>
        </is>
      </c>
      <c r="BC1186" t="inlineStr">
        <is>
          <t>32285002808326</t>
        </is>
      </c>
      <c r="BD1186" t="inlineStr">
        <is>
          <t>893422700</t>
        </is>
      </c>
    </row>
    <row r="1187">
      <c r="A1187" t="inlineStr">
        <is>
          <t>No</t>
        </is>
      </c>
      <c r="B1187" t="inlineStr">
        <is>
          <t>QD515 .S512</t>
        </is>
      </c>
      <c r="C1187" t="inlineStr">
        <is>
          <t>0                      QD 0515000S  512</t>
        </is>
      </c>
      <c r="D1187" t="inlineStr">
        <is>
          <t>Handbook of differential thermal analysis, by W.J. Smothers and Yao Chiang.</t>
        </is>
      </c>
      <c r="F1187" t="inlineStr">
        <is>
          <t>No</t>
        </is>
      </c>
      <c r="G1187" t="inlineStr">
        <is>
          <t>1</t>
        </is>
      </c>
      <c r="H1187" t="inlineStr">
        <is>
          <t>No</t>
        </is>
      </c>
      <c r="I1187" t="inlineStr">
        <is>
          <t>No</t>
        </is>
      </c>
      <c r="J1187" t="inlineStr">
        <is>
          <t>0</t>
        </is>
      </c>
      <c r="K1187" t="inlineStr">
        <is>
          <t>Smothers, W. J. (William Joseph), 1919-</t>
        </is>
      </c>
      <c r="L1187" t="inlineStr">
        <is>
          <t>New York, Chemical Pub. Co., 1966.</t>
        </is>
      </c>
      <c r="M1187" t="inlineStr">
        <is>
          <t>1966</t>
        </is>
      </c>
      <c r="O1187" t="inlineStr">
        <is>
          <t>eng</t>
        </is>
      </c>
      <c r="P1187" t="inlineStr">
        <is>
          <t>nyu</t>
        </is>
      </c>
      <c r="R1187" t="inlineStr">
        <is>
          <t xml:space="preserve">QD </t>
        </is>
      </c>
      <c r="S1187" t="n">
        <v>1</v>
      </c>
      <c r="T1187" t="n">
        <v>1</v>
      </c>
      <c r="U1187" t="inlineStr">
        <is>
          <t>2006-11-12</t>
        </is>
      </c>
      <c r="V1187" t="inlineStr">
        <is>
          <t>2006-11-12</t>
        </is>
      </c>
      <c r="W1187" t="inlineStr">
        <is>
          <t>1997-06-17</t>
        </is>
      </c>
      <c r="X1187" t="inlineStr">
        <is>
          <t>1997-06-17</t>
        </is>
      </c>
      <c r="Y1187" t="n">
        <v>336</v>
      </c>
      <c r="Z1187" t="n">
        <v>258</v>
      </c>
      <c r="AA1187" t="n">
        <v>260</v>
      </c>
      <c r="AB1187" t="n">
        <v>2</v>
      </c>
      <c r="AC1187" t="n">
        <v>2</v>
      </c>
      <c r="AD1187" t="n">
        <v>5</v>
      </c>
      <c r="AE1187" t="n">
        <v>5</v>
      </c>
      <c r="AF1187" t="n">
        <v>1</v>
      </c>
      <c r="AG1187" t="n">
        <v>1</v>
      </c>
      <c r="AH1187" t="n">
        <v>3</v>
      </c>
      <c r="AI1187" t="n">
        <v>3</v>
      </c>
      <c r="AJ1187" t="n">
        <v>3</v>
      </c>
      <c r="AK1187" t="n">
        <v>3</v>
      </c>
      <c r="AL1187" t="n">
        <v>1</v>
      </c>
      <c r="AM1187" t="n">
        <v>1</v>
      </c>
      <c r="AN1187" t="n">
        <v>0</v>
      </c>
      <c r="AO1187" t="n">
        <v>0</v>
      </c>
      <c r="AP1187" t="inlineStr">
        <is>
          <t>No</t>
        </is>
      </c>
      <c r="AQ1187" t="inlineStr">
        <is>
          <t>Yes</t>
        </is>
      </c>
      <c r="AR1187">
        <f>HYPERLINK("http://catalog.hathitrust.org/Record/001114255","HathiTrust Record")</f>
        <v/>
      </c>
      <c r="AS1187">
        <f>HYPERLINK("https://creighton-primo.hosted.exlibrisgroup.com/primo-explore/search?tab=default_tab&amp;search_scope=EVERYTHING&amp;vid=01CRU&amp;lang=en_US&amp;offset=0&amp;query=any,contains,991002267049702656","Catalog Record")</f>
        <v/>
      </c>
      <c r="AT1187">
        <f>HYPERLINK("http://www.worldcat.org/oclc/307392","WorldCat Record")</f>
        <v/>
      </c>
      <c r="AU1187" t="inlineStr">
        <is>
          <t>1361113:eng</t>
        </is>
      </c>
      <c r="AV1187" t="inlineStr">
        <is>
          <t>307392</t>
        </is>
      </c>
      <c r="AW1187" t="inlineStr">
        <is>
          <t>991002267049702656</t>
        </is>
      </c>
      <c r="AX1187" t="inlineStr">
        <is>
          <t>991002267049702656</t>
        </is>
      </c>
      <c r="AY1187" t="inlineStr">
        <is>
          <t>2265722080002656</t>
        </is>
      </c>
      <c r="AZ1187" t="inlineStr">
        <is>
          <t>BOOK</t>
        </is>
      </c>
      <c r="BC1187" t="inlineStr">
        <is>
          <t>32285002808334</t>
        </is>
      </c>
      <c r="BD1187" t="inlineStr">
        <is>
          <t>893497904</t>
        </is>
      </c>
    </row>
    <row r="1188">
      <c r="A1188" t="inlineStr">
        <is>
          <t>No</t>
        </is>
      </c>
      <c r="B1188" t="inlineStr">
        <is>
          <t>QD516 .C538 1991</t>
        </is>
      </c>
      <c r="C1188" t="inlineStr">
        <is>
          <t>0                      QD 0516000C  538         1991</t>
        </is>
      </c>
      <c r="D1188" t="inlineStr">
        <is>
          <t>Chemistry of energetic materials / edited by George A. Olah, David R. Squire.</t>
        </is>
      </c>
      <c r="F1188" t="inlineStr">
        <is>
          <t>No</t>
        </is>
      </c>
      <c r="G1188" t="inlineStr">
        <is>
          <t>1</t>
        </is>
      </c>
      <c r="H1188" t="inlineStr">
        <is>
          <t>No</t>
        </is>
      </c>
      <c r="I1188" t="inlineStr">
        <is>
          <t>No</t>
        </is>
      </c>
      <c r="J1188" t="inlineStr">
        <is>
          <t>0</t>
        </is>
      </c>
      <c r="L1188" t="inlineStr">
        <is>
          <t>San Diego : Academic Press, c1991.</t>
        </is>
      </c>
      <c r="M1188" t="inlineStr">
        <is>
          <t>1991</t>
        </is>
      </c>
      <c r="O1188" t="inlineStr">
        <is>
          <t>eng</t>
        </is>
      </c>
      <c r="P1188" t="inlineStr">
        <is>
          <t>cau</t>
        </is>
      </c>
      <c r="R1188" t="inlineStr">
        <is>
          <t xml:space="preserve">QD </t>
        </is>
      </c>
      <c r="S1188" t="n">
        <v>8</v>
      </c>
      <c r="T1188" t="n">
        <v>8</v>
      </c>
      <c r="U1188" t="inlineStr">
        <is>
          <t>2004-04-12</t>
        </is>
      </c>
      <c r="V1188" t="inlineStr">
        <is>
          <t>2004-04-12</t>
        </is>
      </c>
      <c r="W1188" t="inlineStr">
        <is>
          <t>1992-06-10</t>
        </is>
      </c>
      <c r="X1188" t="inlineStr">
        <is>
          <t>1992-06-10</t>
        </is>
      </c>
      <c r="Y1188" t="n">
        <v>202</v>
      </c>
      <c r="Z1188" t="n">
        <v>151</v>
      </c>
      <c r="AA1188" t="n">
        <v>191</v>
      </c>
      <c r="AB1188" t="n">
        <v>3</v>
      </c>
      <c r="AC1188" t="n">
        <v>3</v>
      </c>
      <c r="AD1188" t="n">
        <v>5</v>
      </c>
      <c r="AE1188" t="n">
        <v>8</v>
      </c>
      <c r="AF1188" t="n">
        <v>0</v>
      </c>
      <c r="AG1188" t="n">
        <v>2</v>
      </c>
      <c r="AH1188" t="n">
        <v>1</v>
      </c>
      <c r="AI1188" t="n">
        <v>3</v>
      </c>
      <c r="AJ1188" t="n">
        <v>2</v>
      </c>
      <c r="AK1188" t="n">
        <v>2</v>
      </c>
      <c r="AL1188" t="n">
        <v>2</v>
      </c>
      <c r="AM1188" t="n">
        <v>2</v>
      </c>
      <c r="AN1188" t="n">
        <v>0</v>
      </c>
      <c r="AO1188" t="n">
        <v>0</v>
      </c>
      <c r="AP1188" t="inlineStr">
        <is>
          <t>No</t>
        </is>
      </c>
      <c r="AQ1188" t="inlineStr">
        <is>
          <t>No</t>
        </is>
      </c>
      <c r="AS1188">
        <f>HYPERLINK("https://creighton-primo.hosted.exlibrisgroup.com/primo-explore/search?tab=default_tab&amp;search_scope=EVERYTHING&amp;vid=01CRU&amp;lang=en_US&amp;offset=0&amp;query=any,contains,991001861259702656","Catalog Record")</f>
        <v/>
      </c>
      <c r="AT1188">
        <f>HYPERLINK("http://www.worldcat.org/oclc/23383943","WorldCat Record")</f>
        <v/>
      </c>
      <c r="AU1188" t="inlineStr">
        <is>
          <t>352218759:eng</t>
        </is>
      </c>
      <c r="AV1188" t="inlineStr">
        <is>
          <t>23383943</t>
        </is>
      </c>
      <c r="AW1188" t="inlineStr">
        <is>
          <t>991001861259702656</t>
        </is>
      </c>
      <c r="AX1188" t="inlineStr">
        <is>
          <t>991001861259702656</t>
        </is>
      </c>
      <c r="AY1188" t="inlineStr">
        <is>
          <t>2268309240002656</t>
        </is>
      </c>
      <c r="AZ1188" t="inlineStr">
        <is>
          <t>BOOK</t>
        </is>
      </c>
      <c r="BB1188" t="inlineStr">
        <is>
          <t>9780125254403</t>
        </is>
      </c>
      <c r="BC1188" t="inlineStr">
        <is>
          <t>32285001128098</t>
        </is>
      </c>
      <c r="BD1188" t="inlineStr">
        <is>
          <t>893256573</t>
        </is>
      </c>
    </row>
    <row r="1189">
      <c r="A1189" t="inlineStr">
        <is>
          <t>No</t>
        </is>
      </c>
      <c r="B1189" t="inlineStr">
        <is>
          <t>QD516 .K5 1985</t>
        </is>
      </c>
      <c r="C1189" t="inlineStr">
        <is>
          <t>0                      QD 0516000K  5           1985</t>
        </is>
      </c>
      <c r="D1189" t="inlineStr">
        <is>
          <t>Explosive shocks in air / Gilbert F. Kinney, Kenneth J. Graham.</t>
        </is>
      </c>
      <c r="F1189" t="inlineStr">
        <is>
          <t>No</t>
        </is>
      </c>
      <c r="G1189" t="inlineStr">
        <is>
          <t>1</t>
        </is>
      </c>
      <c r="H1189" t="inlineStr">
        <is>
          <t>No</t>
        </is>
      </c>
      <c r="I1189" t="inlineStr">
        <is>
          <t>No</t>
        </is>
      </c>
      <c r="J1189" t="inlineStr">
        <is>
          <t>0</t>
        </is>
      </c>
      <c r="K1189" t="inlineStr">
        <is>
          <t>Kinney, Gilbert Ford.</t>
        </is>
      </c>
      <c r="L1189" t="inlineStr">
        <is>
          <t>New York : Springer, Verlag, 1985.</t>
        </is>
      </c>
      <c r="M1189" t="inlineStr">
        <is>
          <t>1985</t>
        </is>
      </c>
      <c r="N1189" t="inlineStr">
        <is>
          <t>2nd ed.</t>
        </is>
      </c>
      <c r="O1189" t="inlineStr">
        <is>
          <t>eng</t>
        </is>
      </c>
      <c r="P1189" t="inlineStr">
        <is>
          <t>nyu</t>
        </is>
      </c>
      <c r="R1189" t="inlineStr">
        <is>
          <t xml:space="preserve">QD </t>
        </is>
      </c>
      <c r="S1189" t="n">
        <v>3</v>
      </c>
      <c r="T1189" t="n">
        <v>3</v>
      </c>
      <c r="U1189" t="inlineStr">
        <is>
          <t>2009-05-08</t>
        </is>
      </c>
      <c r="V1189" t="inlineStr">
        <is>
          <t>2009-05-08</t>
        </is>
      </c>
      <c r="W1189" t="inlineStr">
        <is>
          <t>1990-02-09</t>
        </is>
      </c>
      <c r="X1189" t="inlineStr">
        <is>
          <t>1990-02-09</t>
        </is>
      </c>
      <c r="Y1189" t="n">
        <v>176</v>
      </c>
      <c r="Z1189" t="n">
        <v>136</v>
      </c>
      <c r="AA1189" t="n">
        <v>242</v>
      </c>
      <c r="AB1189" t="n">
        <v>3</v>
      </c>
      <c r="AC1189" t="n">
        <v>3</v>
      </c>
      <c r="AD1189" t="n">
        <v>3</v>
      </c>
      <c r="AE1189" t="n">
        <v>5</v>
      </c>
      <c r="AF1189" t="n">
        <v>1</v>
      </c>
      <c r="AG1189" t="n">
        <v>1</v>
      </c>
      <c r="AH1189" t="n">
        <v>0</v>
      </c>
      <c r="AI1189" t="n">
        <v>1</v>
      </c>
      <c r="AJ1189" t="n">
        <v>1</v>
      </c>
      <c r="AK1189" t="n">
        <v>3</v>
      </c>
      <c r="AL1189" t="n">
        <v>2</v>
      </c>
      <c r="AM1189" t="n">
        <v>2</v>
      </c>
      <c r="AN1189" t="n">
        <v>0</v>
      </c>
      <c r="AO1189" t="n">
        <v>0</v>
      </c>
      <c r="AP1189" t="inlineStr">
        <is>
          <t>No</t>
        </is>
      </c>
      <c r="AQ1189" t="inlineStr">
        <is>
          <t>Yes</t>
        </is>
      </c>
      <c r="AR1189">
        <f>HYPERLINK("http://catalog.hathitrust.org/Record/000653281","HathiTrust Record")</f>
        <v/>
      </c>
      <c r="AS1189">
        <f>HYPERLINK("https://creighton-primo.hosted.exlibrisgroup.com/primo-explore/search?tab=default_tab&amp;search_scope=EVERYTHING&amp;vid=01CRU&amp;lang=en_US&amp;offset=0&amp;query=any,contains,991000567769702656","Catalog Record")</f>
        <v/>
      </c>
      <c r="AT1189">
        <f>HYPERLINK("http://www.worldcat.org/oclc/11623386","WorldCat Record")</f>
        <v/>
      </c>
      <c r="AU1189" t="inlineStr">
        <is>
          <t>2242568:eng</t>
        </is>
      </c>
      <c r="AV1189" t="inlineStr">
        <is>
          <t>11623386</t>
        </is>
      </c>
      <c r="AW1189" t="inlineStr">
        <is>
          <t>991000567769702656</t>
        </is>
      </c>
      <c r="AX1189" t="inlineStr">
        <is>
          <t>991000567769702656</t>
        </is>
      </c>
      <c r="AY1189" t="inlineStr">
        <is>
          <t>2262147950002656</t>
        </is>
      </c>
      <c r="AZ1189" t="inlineStr">
        <is>
          <t>BOOK</t>
        </is>
      </c>
      <c r="BC1189" t="inlineStr">
        <is>
          <t>32285000034677</t>
        </is>
      </c>
      <c r="BD1189" t="inlineStr">
        <is>
          <t>893808746</t>
        </is>
      </c>
    </row>
    <row r="1190">
      <c r="A1190" t="inlineStr">
        <is>
          <t>No</t>
        </is>
      </c>
      <c r="B1190" t="inlineStr">
        <is>
          <t>QD516 .L38 1951</t>
        </is>
      </c>
      <c r="C1190" t="inlineStr">
        <is>
          <t>0                      QD 0516000L  38          1951</t>
        </is>
      </c>
      <c r="D1190" t="inlineStr">
        <is>
          <t>Combustion, flames and explosions of gases, by Bernard Lewis and Guenther von Elbe.</t>
        </is>
      </c>
      <c r="F1190" t="inlineStr">
        <is>
          <t>No</t>
        </is>
      </c>
      <c r="G1190" t="inlineStr">
        <is>
          <t>1</t>
        </is>
      </c>
      <c r="H1190" t="inlineStr">
        <is>
          <t>No</t>
        </is>
      </c>
      <c r="I1190" t="inlineStr">
        <is>
          <t>No</t>
        </is>
      </c>
      <c r="J1190" t="inlineStr">
        <is>
          <t>0</t>
        </is>
      </c>
      <c r="K1190" t="inlineStr">
        <is>
          <t>Lewis, Bernard, 1899-1993.</t>
        </is>
      </c>
      <c r="L1190" t="inlineStr">
        <is>
          <t>New York, Academic Press, 1951.</t>
        </is>
      </c>
      <c r="M1190" t="inlineStr">
        <is>
          <t>1951</t>
        </is>
      </c>
      <c r="O1190" t="inlineStr">
        <is>
          <t>eng</t>
        </is>
      </c>
      <c r="P1190" t="inlineStr">
        <is>
          <t>nyu</t>
        </is>
      </c>
      <c r="R1190" t="inlineStr">
        <is>
          <t xml:space="preserve">QD </t>
        </is>
      </c>
      <c r="S1190" t="n">
        <v>3</v>
      </c>
      <c r="T1190" t="n">
        <v>3</v>
      </c>
      <c r="U1190" t="inlineStr">
        <is>
          <t>1998-09-21</t>
        </is>
      </c>
      <c r="V1190" t="inlineStr">
        <is>
          <t>1998-09-21</t>
        </is>
      </c>
      <c r="W1190" t="inlineStr">
        <is>
          <t>1997-06-17</t>
        </is>
      </c>
      <c r="X1190" t="inlineStr">
        <is>
          <t>1997-06-17</t>
        </is>
      </c>
      <c r="Y1190" t="n">
        <v>172</v>
      </c>
      <c r="Z1190" t="n">
        <v>133</v>
      </c>
      <c r="AA1190" t="n">
        <v>485</v>
      </c>
      <c r="AB1190" t="n">
        <v>2</v>
      </c>
      <c r="AC1190" t="n">
        <v>3</v>
      </c>
      <c r="AD1190" t="n">
        <v>4</v>
      </c>
      <c r="AE1190" t="n">
        <v>19</v>
      </c>
      <c r="AF1190" t="n">
        <v>0</v>
      </c>
      <c r="AG1190" t="n">
        <v>4</v>
      </c>
      <c r="AH1190" t="n">
        <v>1</v>
      </c>
      <c r="AI1190" t="n">
        <v>6</v>
      </c>
      <c r="AJ1190" t="n">
        <v>3</v>
      </c>
      <c r="AK1190" t="n">
        <v>11</v>
      </c>
      <c r="AL1190" t="n">
        <v>1</v>
      </c>
      <c r="AM1190" t="n">
        <v>2</v>
      </c>
      <c r="AN1190" t="n">
        <v>0</v>
      </c>
      <c r="AO1190" t="n">
        <v>0</v>
      </c>
      <c r="AP1190" t="inlineStr">
        <is>
          <t>Yes</t>
        </is>
      </c>
      <c r="AQ1190" t="inlineStr">
        <is>
          <t>Yes</t>
        </is>
      </c>
      <c r="AR1190">
        <f>HYPERLINK("http://catalog.hathitrust.org/Record/000876230","HathiTrust Record")</f>
        <v/>
      </c>
      <c r="AS1190">
        <f>HYPERLINK("https://creighton-primo.hosted.exlibrisgroup.com/primo-explore/search?tab=default_tab&amp;search_scope=EVERYTHING&amp;vid=01CRU&amp;lang=en_US&amp;offset=0&amp;query=any,contains,991003790829702656","Catalog Record")</f>
        <v/>
      </c>
      <c r="AT1190">
        <f>HYPERLINK("http://www.worldcat.org/oclc/1509570","WorldCat Record")</f>
        <v/>
      </c>
      <c r="AU1190" t="inlineStr">
        <is>
          <t>143804518:eng</t>
        </is>
      </c>
      <c r="AV1190" t="inlineStr">
        <is>
          <t>1509570</t>
        </is>
      </c>
      <c r="AW1190" t="inlineStr">
        <is>
          <t>991003790829702656</t>
        </is>
      </c>
      <c r="AX1190" t="inlineStr">
        <is>
          <t>991003790829702656</t>
        </is>
      </c>
      <c r="AY1190" t="inlineStr">
        <is>
          <t>2255728490002656</t>
        </is>
      </c>
      <c r="AZ1190" t="inlineStr">
        <is>
          <t>BOOK</t>
        </is>
      </c>
      <c r="BC1190" t="inlineStr">
        <is>
          <t>32285002808375</t>
        </is>
      </c>
      <c r="BD1190" t="inlineStr">
        <is>
          <t>893868868</t>
        </is>
      </c>
    </row>
    <row r="1191">
      <c r="A1191" t="inlineStr">
        <is>
          <t>No</t>
        </is>
      </c>
      <c r="B1191" t="inlineStr">
        <is>
          <t>QD516 .T85 1981</t>
        </is>
      </c>
      <c r="C1191" t="inlineStr">
        <is>
          <t>0                      QD 0516000T  85          1981</t>
        </is>
      </c>
      <c r="D1191" t="inlineStr">
        <is>
          <t>The chemistry of fire and hazardous materials / Charles F. Turner, Joseph W. McCreery.</t>
        </is>
      </c>
      <c r="F1191" t="inlineStr">
        <is>
          <t>No</t>
        </is>
      </c>
      <c r="G1191" t="inlineStr">
        <is>
          <t>1</t>
        </is>
      </c>
      <c r="H1191" t="inlineStr">
        <is>
          <t>No</t>
        </is>
      </c>
      <c r="I1191" t="inlineStr">
        <is>
          <t>No</t>
        </is>
      </c>
      <c r="J1191" t="inlineStr">
        <is>
          <t>0</t>
        </is>
      </c>
      <c r="K1191" t="inlineStr">
        <is>
          <t>Turner, Charles F., 1918-</t>
        </is>
      </c>
      <c r="L1191" t="inlineStr">
        <is>
          <t>New York : Allyn and Bacon, c1981.</t>
        </is>
      </c>
      <c r="M1191" t="inlineStr">
        <is>
          <t>1981</t>
        </is>
      </c>
      <c r="O1191" t="inlineStr">
        <is>
          <t>eng</t>
        </is>
      </c>
      <c r="P1191" t="inlineStr">
        <is>
          <t>nyu</t>
        </is>
      </c>
      <c r="R1191" t="inlineStr">
        <is>
          <t xml:space="preserve">QD </t>
        </is>
      </c>
      <c r="S1191" t="n">
        <v>2</v>
      </c>
      <c r="T1191" t="n">
        <v>2</v>
      </c>
      <c r="U1191" t="inlineStr">
        <is>
          <t>1997-11-14</t>
        </is>
      </c>
      <c r="V1191" t="inlineStr">
        <is>
          <t>1997-11-14</t>
        </is>
      </c>
      <c r="W1191" t="inlineStr">
        <is>
          <t>1992-12-03</t>
        </is>
      </c>
      <c r="X1191" t="inlineStr">
        <is>
          <t>1992-12-03</t>
        </is>
      </c>
      <c r="Y1191" t="n">
        <v>258</v>
      </c>
      <c r="Z1191" t="n">
        <v>208</v>
      </c>
      <c r="AA1191" t="n">
        <v>215</v>
      </c>
      <c r="AB1191" t="n">
        <v>3</v>
      </c>
      <c r="AC1191" t="n">
        <v>3</v>
      </c>
      <c r="AD1191" t="n">
        <v>6</v>
      </c>
      <c r="AE1191" t="n">
        <v>6</v>
      </c>
      <c r="AF1191" t="n">
        <v>3</v>
      </c>
      <c r="AG1191" t="n">
        <v>3</v>
      </c>
      <c r="AH1191" t="n">
        <v>0</v>
      </c>
      <c r="AI1191" t="n">
        <v>0</v>
      </c>
      <c r="AJ1191" t="n">
        <v>1</v>
      </c>
      <c r="AK1191" t="n">
        <v>1</v>
      </c>
      <c r="AL1191" t="n">
        <v>2</v>
      </c>
      <c r="AM1191" t="n">
        <v>2</v>
      </c>
      <c r="AN1191" t="n">
        <v>0</v>
      </c>
      <c r="AO1191" t="n">
        <v>0</v>
      </c>
      <c r="AP1191" t="inlineStr">
        <is>
          <t>No</t>
        </is>
      </c>
      <c r="AQ1191" t="inlineStr">
        <is>
          <t>Yes</t>
        </is>
      </c>
      <c r="AR1191">
        <f>HYPERLINK("http://catalog.hathitrust.org/Record/000445055","HathiTrust Record")</f>
        <v/>
      </c>
      <c r="AS1191">
        <f>HYPERLINK("https://creighton-primo.hosted.exlibrisgroup.com/primo-explore/search?tab=default_tab&amp;search_scope=EVERYTHING&amp;vid=01CRU&amp;lang=en_US&amp;offset=0&amp;query=any,contains,991004983819702656","Catalog Record")</f>
        <v/>
      </c>
      <c r="AT1191">
        <f>HYPERLINK("http://www.worldcat.org/oclc/6446495","WorldCat Record")</f>
        <v/>
      </c>
      <c r="AU1191" t="inlineStr">
        <is>
          <t>20413487:eng</t>
        </is>
      </c>
      <c r="AV1191" t="inlineStr">
        <is>
          <t>6446495</t>
        </is>
      </c>
      <c r="AW1191" t="inlineStr">
        <is>
          <t>991004983819702656</t>
        </is>
      </c>
      <c r="AX1191" t="inlineStr">
        <is>
          <t>991004983819702656</t>
        </is>
      </c>
      <c r="AY1191" t="inlineStr">
        <is>
          <t>2256216460002656</t>
        </is>
      </c>
      <c r="AZ1191" t="inlineStr">
        <is>
          <t>BOOK</t>
        </is>
      </c>
      <c r="BB1191" t="inlineStr">
        <is>
          <t>9780205069125</t>
        </is>
      </c>
      <c r="BC1191" t="inlineStr">
        <is>
          <t>32285001412047</t>
        </is>
      </c>
      <c r="BD1191" t="inlineStr">
        <is>
          <t>893248176</t>
        </is>
      </c>
    </row>
    <row r="1192">
      <c r="A1192" t="inlineStr">
        <is>
          <t>No</t>
        </is>
      </c>
      <c r="B1192" t="inlineStr">
        <is>
          <t>QD53 .C69 1992</t>
        </is>
      </c>
      <c r="C1192" t="inlineStr">
        <is>
          <t>0                      QD 0053000C  69          1992</t>
        </is>
      </c>
      <c r="D1192" t="inlineStr">
        <is>
          <t>The laboratory handbook of materials, equipment, and technique / Gary S. Coyne.</t>
        </is>
      </c>
      <c r="F1192" t="inlineStr">
        <is>
          <t>No</t>
        </is>
      </c>
      <c r="G1192" t="inlineStr">
        <is>
          <t>1</t>
        </is>
      </c>
      <c r="H1192" t="inlineStr">
        <is>
          <t>No</t>
        </is>
      </c>
      <c r="I1192" t="inlineStr">
        <is>
          <t>No</t>
        </is>
      </c>
      <c r="J1192" t="inlineStr">
        <is>
          <t>0</t>
        </is>
      </c>
      <c r="K1192" t="inlineStr">
        <is>
          <t>Coyne, Gary S.</t>
        </is>
      </c>
      <c r="L1192" t="inlineStr">
        <is>
          <t>Englewood Cliffs, N.J. : Prentice Hall, c1992.</t>
        </is>
      </c>
      <c r="M1192" t="inlineStr">
        <is>
          <t>1992</t>
        </is>
      </c>
      <c r="O1192" t="inlineStr">
        <is>
          <t>eng</t>
        </is>
      </c>
      <c r="P1192" t="inlineStr">
        <is>
          <t>nju</t>
        </is>
      </c>
      <c r="R1192" t="inlineStr">
        <is>
          <t xml:space="preserve">QD </t>
        </is>
      </c>
      <c r="S1192" t="n">
        <v>5</v>
      </c>
      <c r="T1192" t="n">
        <v>5</v>
      </c>
      <c r="U1192" t="inlineStr">
        <is>
          <t>1994-04-13</t>
        </is>
      </c>
      <c r="V1192" t="inlineStr">
        <is>
          <t>1994-04-13</t>
        </is>
      </c>
      <c r="W1192" t="inlineStr">
        <is>
          <t>1994-03-11</t>
        </is>
      </c>
      <c r="X1192" t="inlineStr">
        <is>
          <t>1994-03-11</t>
        </is>
      </c>
      <c r="Y1192" t="n">
        <v>452</v>
      </c>
      <c r="Z1192" t="n">
        <v>383</v>
      </c>
      <c r="AA1192" t="n">
        <v>384</v>
      </c>
      <c r="AB1192" t="n">
        <v>2</v>
      </c>
      <c r="AC1192" t="n">
        <v>2</v>
      </c>
      <c r="AD1192" t="n">
        <v>14</v>
      </c>
      <c r="AE1192" t="n">
        <v>14</v>
      </c>
      <c r="AF1192" t="n">
        <v>5</v>
      </c>
      <c r="AG1192" t="n">
        <v>5</v>
      </c>
      <c r="AH1192" t="n">
        <v>3</v>
      </c>
      <c r="AI1192" t="n">
        <v>3</v>
      </c>
      <c r="AJ1192" t="n">
        <v>10</v>
      </c>
      <c r="AK1192" t="n">
        <v>10</v>
      </c>
      <c r="AL1192" t="n">
        <v>1</v>
      </c>
      <c r="AM1192" t="n">
        <v>1</v>
      </c>
      <c r="AN1192" t="n">
        <v>0</v>
      </c>
      <c r="AO1192" t="n">
        <v>0</v>
      </c>
      <c r="AP1192" t="inlineStr">
        <is>
          <t>No</t>
        </is>
      </c>
      <c r="AQ1192" t="inlineStr">
        <is>
          <t>Yes</t>
        </is>
      </c>
      <c r="AR1192">
        <f>HYPERLINK("http://catalog.hathitrust.org/Record/007477970","HathiTrust Record")</f>
        <v/>
      </c>
      <c r="AS1192">
        <f>HYPERLINK("https://creighton-primo.hosted.exlibrisgroup.com/primo-explore/search?tab=default_tab&amp;search_scope=EVERYTHING&amp;vid=01CRU&amp;lang=en_US&amp;offset=0&amp;query=any,contains,991001921989702656","Catalog Record")</f>
        <v/>
      </c>
      <c r="AT1192">
        <f>HYPERLINK("http://www.worldcat.org/oclc/24247731","WorldCat Record")</f>
        <v/>
      </c>
      <c r="AU1192" t="inlineStr">
        <is>
          <t>27347792:eng</t>
        </is>
      </c>
      <c r="AV1192" t="inlineStr">
        <is>
          <t>24247731</t>
        </is>
      </c>
      <c r="AW1192" t="inlineStr">
        <is>
          <t>991001921989702656</t>
        </is>
      </c>
      <c r="AX1192" t="inlineStr">
        <is>
          <t>991001921989702656</t>
        </is>
      </c>
      <c r="AY1192" t="inlineStr">
        <is>
          <t>2262018090002656</t>
        </is>
      </c>
      <c r="AZ1192" t="inlineStr">
        <is>
          <t>BOOK</t>
        </is>
      </c>
      <c r="BB1192" t="inlineStr">
        <is>
          <t>9780131262287</t>
        </is>
      </c>
      <c r="BC1192" t="inlineStr">
        <is>
          <t>32285001844314</t>
        </is>
      </c>
      <c r="BD1192" t="inlineStr">
        <is>
          <t>893602995</t>
        </is>
      </c>
    </row>
    <row r="1193">
      <c r="A1193" t="inlineStr">
        <is>
          <t>No</t>
        </is>
      </c>
      <c r="B1193" t="inlineStr">
        <is>
          <t>QD53 .C69 2006</t>
        </is>
      </c>
      <c r="C1193" t="inlineStr">
        <is>
          <t>0                      QD 0053000C  69          2006</t>
        </is>
      </c>
      <c r="D1193" t="inlineStr">
        <is>
          <t>The laboratory companion : a practical guide to materials, equipment, and technique / Gary S. Coyne.</t>
        </is>
      </c>
      <c r="F1193" t="inlineStr">
        <is>
          <t>No</t>
        </is>
      </c>
      <c r="G1193" t="inlineStr">
        <is>
          <t>1</t>
        </is>
      </c>
      <c r="H1193" t="inlineStr">
        <is>
          <t>No</t>
        </is>
      </c>
      <c r="I1193" t="inlineStr">
        <is>
          <t>No</t>
        </is>
      </c>
      <c r="J1193" t="inlineStr">
        <is>
          <t>0</t>
        </is>
      </c>
      <c r="K1193" t="inlineStr">
        <is>
          <t>Coyne, Gary S.</t>
        </is>
      </c>
      <c r="L1193" t="inlineStr">
        <is>
          <t>Hoboken, N.J. : Wiley-Interscience, c2006.</t>
        </is>
      </c>
      <c r="M1193" t="inlineStr">
        <is>
          <t>2006</t>
        </is>
      </c>
      <c r="N1193" t="inlineStr">
        <is>
          <t>Rev. ed.</t>
        </is>
      </c>
      <c r="O1193" t="inlineStr">
        <is>
          <t>eng</t>
        </is>
      </c>
      <c r="P1193" t="inlineStr">
        <is>
          <t>nju</t>
        </is>
      </c>
      <c r="R1193" t="inlineStr">
        <is>
          <t xml:space="preserve">QD </t>
        </is>
      </c>
      <c r="S1193" t="n">
        <v>2</v>
      </c>
      <c r="T1193" t="n">
        <v>2</v>
      </c>
      <c r="U1193" t="inlineStr">
        <is>
          <t>2007-03-05</t>
        </is>
      </c>
      <c r="V1193" t="inlineStr">
        <is>
          <t>2007-03-05</t>
        </is>
      </c>
      <c r="W1193" t="inlineStr">
        <is>
          <t>2007-03-05</t>
        </is>
      </c>
      <c r="X1193" t="inlineStr">
        <is>
          <t>2007-03-05</t>
        </is>
      </c>
      <c r="Y1193" t="n">
        <v>338</v>
      </c>
      <c r="Z1193" t="n">
        <v>255</v>
      </c>
      <c r="AA1193" t="n">
        <v>670</v>
      </c>
      <c r="AB1193" t="n">
        <v>1</v>
      </c>
      <c r="AC1193" t="n">
        <v>6</v>
      </c>
      <c r="AD1193" t="n">
        <v>10</v>
      </c>
      <c r="AE1193" t="n">
        <v>27</v>
      </c>
      <c r="AF1193" t="n">
        <v>6</v>
      </c>
      <c r="AG1193" t="n">
        <v>11</v>
      </c>
      <c r="AH1193" t="n">
        <v>2</v>
      </c>
      <c r="AI1193" t="n">
        <v>5</v>
      </c>
      <c r="AJ1193" t="n">
        <v>3</v>
      </c>
      <c r="AK1193" t="n">
        <v>10</v>
      </c>
      <c r="AL1193" t="n">
        <v>0</v>
      </c>
      <c r="AM1193" t="n">
        <v>5</v>
      </c>
      <c r="AN1193" t="n">
        <v>0</v>
      </c>
      <c r="AO1193" t="n">
        <v>0</v>
      </c>
      <c r="AP1193" t="inlineStr">
        <is>
          <t>No</t>
        </is>
      </c>
      <c r="AQ1193" t="inlineStr">
        <is>
          <t>Yes</t>
        </is>
      </c>
      <c r="AR1193">
        <f>HYPERLINK("http://catalog.hathitrust.org/Record/009752677","HathiTrust Record")</f>
        <v/>
      </c>
      <c r="AS1193">
        <f>HYPERLINK("https://creighton-primo.hosted.exlibrisgroup.com/primo-explore/search?tab=default_tab&amp;search_scope=EVERYTHING&amp;vid=01CRU&amp;lang=en_US&amp;offset=0&amp;query=any,contains,991005037089702656","Catalog Record")</f>
        <v/>
      </c>
      <c r="AT1193">
        <f>HYPERLINK("http://www.worldcat.org/oclc/62770977","WorldCat Record")</f>
        <v/>
      </c>
      <c r="AU1193" t="inlineStr">
        <is>
          <t>549253:eng</t>
        </is>
      </c>
      <c r="AV1193" t="inlineStr">
        <is>
          <t>62770977</t>
        </is>
      </c>
      <c r="AW1193" t="inlineStr">
        <is>
          <t>991005037089702656</t>
        </is>
      </c>
      <c r="AX1193" t="inlineStr">
        <is>
          <t>991005037089702656</t>
        </is>
      </c>
      <c r="AY1193" t="inlineStr">
        <is>
          <t>2263473500002656</t>
        </is>
      </c>
      <c r="AZ1193" t="inlineStr">
        <is>
          <t>BOOK</t>
        </is>
      </c>
      <c r="BB1193" t="inlineStr">
        <is>
          <t>9780471780861</t>
        </is>
      </c>
      <c r="BC1193" t="inlineStr">
        <is>
          <t>32285005279624</t>
        </is>
      </c>
      <c r="BD1193" t="inlineStr">
        <is>
          <t>893242100</t>
        </is>
      </c>
    </row>
    <row r="1194">
      <c r="A1194" t="inlineStr">
        <is>
          <t>No</t>
        </is>
      </c>
      <c r="B1194" t="inlineStr">
        <is>
          <t>QD53 .F76 2002</t>
        </is>
      </c>
      <c r="C1194" t="inlineStr">
        <is>
          <t>0                      QD 0053000F  76          2002</t>
        </is>
      </c>
      <c r="D1194" t="inlineStr">
        <is>
          <t>From classical to modern chemistry : the instrumental revolution / edited by Peter J.T. Morris.</t>
        </is>
      </c>
      <c r="F1194" t="inlineStr">
        <is>
          <t>No</t>
        </is>
      </c>
      <c r="G1194" t="inlineStr">
        <is>
          <t>1</t>
        </is>
      </c>
      <c r="H1194" t="inlineStr">
        <is>
          <t>No</t>
        </is>
      </c>
      <c r="I1194" t="inlineStr">
        <is>
          <t>No</t>
        </is>
      </c>
      <c r="J1194" t="inlineStr">
        <is>
          <t>0</t>
        </is>
      </c>
      <c r="L1194" t="inlineStr">
        <is>
          <t>Cambridge : Royal Society of Chemistry in association with the Science Museum, c2002.</t>
        </is>
      </c>
      <c r="M1194" t="inlineStr">
        <is>
          <t>2002</t>
        </is>
      </c>
      <c r="O1194" t="inlineStr">
        <is>
          <t>eng</t>
        </is>
      </c>
      <c r="P1194" t="inlineStr">
        <is>
          <t>enk</t>
        </is>
      </c>
      <c r="R1194" t="inlineStr">
        <is>
          <t xml:space="preserve">QD </t>
        </is>
      </c>
      <c r="S1194" t="n">
        <v>1</v>
      </c>
      <c r="T1194" t="n">
        <v>1</v>
      </c>
      <c r="U1194" t="inlineStr">
        <is>
          <t>2003-11-13</t>
        </is>
      </c>
      <c r="V1194" t="inlineStr">
        <is>
          <t>2003-11-13</t>
        </is>
      </c>
      <c r="W1194" t="inlineStr">
        <is>
          <t>2003-04-02</t>
        </is>
      </c>
      <c r="X1194" t="inlineStr">
        <is>
          <t>2003-04-02</t>
        </is>
      </c>
      <c r="Y1194" t="n">
        <v>144</v>
      </c>
      <c r="Z1194" t="n">
        <v>77</v>
      </c>
      <c r="AA1194" t="n">
        <v>77</v>
      </c>
      <c r="AB1194" t="n">
        <v>2</v>
      </c>
      <c r="AC1194" t="n">
        <v>2</v>
      </c>
      <c r="AD1194" t="n">
        <v>4</v>
      </c>
      <c r="AE1194" t="n">
        <v>4</v>
      </c>
      <c r="AF1194" t="n">
        <v>0</v>
      </c>
      <c r="AG1194" t="n">
        <v>0</v>
      </c>
      <c r="AH1194" t="n">
        <v>0</v>
      </c>
      <c r="AI1194" t="n">
        <v>0</v>
      </c>
      <c r="AJ1194" t="n">
        <v>3</v>
      </c>
      <c r="AK1194" t="n">
        <v>3</v>
      </c>
      <c r="AL1194" t="n">
        <v>1</v>
      </c>
      <c r="AM1194" t="n">
        <v>1</v>
      </c>
      <c r="AN1194" t="n">
        <v>0</v>
      </c>
      <c r="AO1194" t="n">
        <v>0</v>
      </c>
      <c r="AP1194" t="inlineStr">
        <is>
          <t>No</t>
        </is>
      </c>
      <c r="AQ1194" t="inlineStr">
        <is>
          <t>No</t>
        </is>
      </c>
      <c r="AS1194">
        <f>HYPERLINK("https://creighton-primo.hosted.exlibrisgroup.com/primo-explore/search?tab=default_tab&amp;search_scope=EVERYTHING&amp;vid=01CRU&amp;lang=en_US&amp;offset=0&amp;query=any,contains,991003999439702656","Catalog Record")</f>
        <v/>
      </c>
      <c r="AT1194">
        <f>HYPERLINK("http://www.worldcat.org/oclc/49298157","WorldCat Record")</f>
        <v/>
      </c>
      <c r="AU1194" t="inlineStr">
        <is>
          <t>891900299:eng</t>
        </is>
      </c>
      <c r="AV1194" t="inlineStr">
        <is>
          <t>49298157</t>
        </is>
      </c>
      <c r="AW1194" t="inlineStr">
        <is>
          <t>991003999439702656</t>
        </is>
      </c>
      <c r="AX1194" t="inlineStr">
        <is>
          <t>991003999439702656</t>
        </is>
      </c>
      <c r="AY1194" t="inlineStr">
        <is>
          <t>2257162430002656</t>
        </is>
      </c>
      <c r="AZ1194" t="inlineStr">
        <is>
          <t>BOOK</t>
        </is>
      </c>
      <c r="BB1194" t="inlineStr">
        <is>
          <t>9780854044795</t>
        </is>
      </c>
      <c r="BC1194" t="inlineStr">
        <is>
          <t>32285004689088</t>
        </is>
      </c>
      <c r="BD1194" t="inlineStr">
        <is>
          <t>893429520</t>
        </is>
      </c>
    </row>
    <row r="1195">
      <c r="A1195" t="inlineStr">
        <is>
          <t>No</t>
        </is>
      </c>
      <c r="B1195" t="inlineStr">
        <is>
          <t>QD536 .B85</t>
        </is>
      </c>
      <c r="C1195" t="inlineStr">
        <is>
          <t>0                      QD 0536000B  85</t>
        </is>
      </c>
      <c r="D1195" t="inlineStr">
        <is>
          <t>Phenomena at the temperature of liquid helium, by E. F. Burton ... H. Grayson Smith ... [and] J. O. Wilhelm ...</t>
        </is>
      </c>
      <c r="F1195" t="inlineStr">
        <is>
          <t>No</t>
        </is>
      </c>
      <c r="G1195" t="inlineStr">
        <is>
          <t>1</t>
        </is>
      </c>
      <c r="H1195" t="inlineStr">
        <is>
          <t>No</t>
        </is>
      </c>
      <c r="I1195" t="inlineStr">
        <is>
          <t>No</t>
        </is>
      </c>
      <c r="J1195" t="inlineStr">
        <is>
          <t>0</t>
        </is>
      </c>
      <c r="K1195" t="inlineStr">
        <is>
          <t>Burton, E. F. (Eli Franklin), 1879-1948.</t>
        </is>
      </c>
      <c r="L1195" t="inlineStr">
        <is>
          <t>New York, Reinhold Publishing Corporation, 1940.</t>
        </is>
      </c>
      <c r="M1195" t="inlineStr">
        <is>
          <t>1940</t>
        </is>
      </c>
      <c r="O1195" t="inlineStr">
        <is>
          <t>eng</t>
        </is>
      </c>
      <c r="P1195" t="inlineStr">
        <is>
          <t>nyu</t>
        </is>
      </c>
      <c r="Q1195" t="inlineStr">
        <is>
          <t>American Chemical Society. Monograph series. [no. 83]</t>
        </is>
      </c>
      <c r="R1195" t="inlineStr">
        <is>
          <t xml:space="preserve">QD </t>
        </is>
      </c>
      <c r="S1195" t="n">
        <v>3</v>
      </c>
      <c r="T1195" t="n">
        <v>3</v>
      </c>
      <c r="U1195" t="inlineStr">
        <is>
          <t>1998-04-24</t>
        </is>
      </c>
      <c r="V1195" t="inlineStr">
        <is>
          <t>1998-04-24</t>
        </is>
      </c>
      <c r="W1195" t="inlineStr">
        <is>
          <t>1997-06-17</t>
        </is>
      </c>
      <c r="X1195" t="inlineStr">
        <is>
          <t>1997-06-17</t>
        </is>
      </c>
      <c r="Y1195" t="n">
        <v>282</v>
      </c>
      <c r="Z1195" t="n">
        <v>227</v>
      </c>
      <c r="AA1195" t="n">
        <v>236</v>
      </c>
      <c r="AB1195" t="n">
        <v>1</v>
      </c>
      <c r="AC1195" t="n">
        <v>1</v>
      </c>
      <c r="AD1195" t="n">
        <v>10</v>
      </c>
      <c r="AE1195" t="n">
        <v>10</v>
      </c>
      <c r="AF1195" t="n">
        <v>4</v>
      </c>
      <c r="AG1195" t="n">
        <v>4</v>
      </c>
      <c r="AH1195" t="n">
        <v>3</v>
      </c>
      <c r="AI1195" t="n">
        <v>3</v>
      </c>
      <c r="AJ1195" t="n">
        <v>6</v>
      </c>
      <c r="AK1195" t="n">
        <v>6</v>
      </c>
      <c r="AL1195" t="n">
        <v>0</v>
      </c>
      <c r="AM1195" t="n">
        <v>0</v>
      </c>
      <c r="AN1195" t="n">
        <v>0</v>
      </c>
      <c r="AO1195" t="n">
        <v>0</v>
      </c>
      <c r="AP1195" t="inlineStr">
        <is>
          <t>No</t>
        </is>
      </c>
      <c r="AQ1195" t="inlineStr">
        <is>
          <t>Yes</t>
        </is>
      </c>
      <c r="AR1195">
        <f>HYPERLINK("http://catalog.hathitrust.org/Record/001479998","HathiTrust Record")</f>
        <v/>
      </c>
      <c r="AS1195">
        <f>HYPERLINK("https://creighton-primo.hosted.exlibrisgroup.com/primo-explore/search?tab=default_tab&amp;search_scope=EVERYTHING&amp;vid=01CRU&amp;lang=en_US&amp;offset=0&amp;query=any,contains,991002968489702656","Catalog Record")</f>
        <v/>
      </c>
      <c r="AT1195">
        <f>HYPERLINK("http://www.worldcat.org/oclc/547334","WorldCat Record")</f>
        <v/>
      </c>
      <c r="AU1195" t="inlineStr">
        <is>
          <t>1580967:eng</t>
        </is>
      </c>
      <c r="AV1195" t="inlineStr">
        <is>
          <t>547334</t>
        </is>
      </c>
      <c r="AW1195" t="inlineStr">
        <is>
          <t>991002968489702656</t>
        </is>
      </c>
      <c r="AX1195" t="inlineStr">
        <is>
          <t>991002968489702656</t>
        </is>
      </c>
      <c r="AY1195" t="inlineStr">
        <is>
          <t>2262935630002656</t>
        </is>
      </c>
      <c r="AZ1195" t="inlineStr">
        <is>
          <t>BOOK</t>
        </is>
      </c>
      <c r="BC1195" t="inlineStr">
        <is>
          <t>32285002808417</t>
        </is>
      </c>
      <c r="BD1195" t="inlineStr">
        <is>
          <t>893793165</t>
        </is>
      </c>
    </row>
    <row r="1196">
      <c r="A1196" t="inlineStr">
        <is>
          <t>No</t>
        </is>
      </c>
      <c r="B1196" t="inlineStr">
        <is>
          <t>QD540 .I57 1980</t>
        </is>
      </c>
      <c r="C1196" t="inlineStr">
        <is>
          <t>0                      QD 0540000I  57          1980</t>
        </is>
      </c>
      <c r="D1196" t="inlineStr">
        <is>
          <t>Advances in solution chemistry / edited by I. Bertini, L. Lunazzi, and A. Dei.</t>
        </is>
      </c>
      <c r="F1196" t="inlineStr">
        <is>
          <t>No</t>
        </is>
      </c>
      <c r="G1196" t="inlineStr">
        <is>
          <t>1</t>
        </is>
      </c>
      <c r="H1196" t="inlineStr">
        <is>
          <t>No</t>
        </is>
      </c>
      <c r="I1196" t="inlineStr">
        <is>
          <t>No</t>
        </is>
      </c>
      <c r="J1196" t="inlineStr">
        <is>
          <t>0</t>
        </is>
      </c>
      <c r="K1196" t="inlineStr">
        <is>
          <t>International Symposium on Solute-Solute-Solvent Interactions (5th : 1980 : Florence, Italy)</t>
        </is>
      </c>
      <c r="L1196" t="inlineStr">
        <is>
          <t>New York : Plenum Press, c1981.</t>
        </is>
      </c>
      <c r="M1196" t="inlineStr">
        <is>
          <t>1981</t>
        </is>
      </c>
      <c r="O1196" t="inlineStr">
        <is>
          <t>eng</t>
        </is>
      </c>
      <c r="P1196" t="inlineStr">
        <is>
          <t>nyu</t>
        </is>
      </c>
      <c r="R1196" t="inlineStr">
        <is>
          <t xml:space="preserve">QD </t>
        </is>
      </c>
      <c r="S1196" t="n">
        <v>1</v>
      </c>
      <c r="T1196" t="n">
        <v>1</v>
      </c>
      <c r="U1196" t="inlineStr">
        <is>
          <t>1996-04-09</t>
        </is>
      </c>
      <c r="V1196" t="inlineStr">
        <is>
          <t>1996-04-09</t>
        </is>
      </c>
      <c r="W1196" t="inlineStr">
        <is>
          <t>1993-02-11</t>
        </is>
      </c>
      <c r="X1196" t="inlineStr">
        <is>
          <t>1993-02-11</t>
        </is>
      </c>
      <c r="Y1196" t="n">
        <v>169</v>
      </c>
      <c r="Z1196" t="n">
        <v>125</v>
      </c>
      <c r="AA1196" t="n">
        <v>143</v>
      </c>
      <c r="AB1196" t="n">
        <v>2</v>
      </c>
      <c r="AC1196" t="n">
        <v>2</v>
      </c>
      <c r="AD1196" t="n">
        <v>3</v>
      </c>
      <c r="AE1196" t="n">
        <v>4</v>
      </c>
      <c r="AF1196" t="n">
        <v>0</v>
      </c>
      <c r="AG1196" t="n">
        <v>1</v>
      </c>
      <c r="AH1196" t="n">
        <v>2</v>
      </c>
      <c r="AI1196" t="n">
        <v>2</v>
      </c>
      <c r="AJ1196" t="n">
        <v>2</v>
      </c>
      <c r="AK1196" t="n">
        <v>3</v>
      </c>
      <c r="AL1196" t="n">
        <v>1</v>
      </c>
      <c r="AM1196" t="n">
        <v>1</v>
      </c>
      <c r="AN1196" t="n">
        <v>0</v>
      </c>
      <c r="AO1196" t="n">
        <v>0</v>
      </c>
      <c r="AP1196" t="inlineStr">
        <is>
          <t>No</t>
        </is>
      </c>
      <c r="AQ1196" t="inlineStr">
        <is>
          <t>Yes</t>
        </is>
      </c>
      <c r="AR1196">
        <f>HYPERLINK("http://catalog.hathitrust.org/Record/000139873","HathiTrust Record")</f>
        <v/>
      </c>
      <c r="AS1196">
        <f>HYPERLINK("https://creighton-primo.hosted.exlibrisgroup.com/primo-explore/search?tab=default_tab&amp;search_scope=EVERYTHING&amp;vid=01CRU&amp;lang=en_US&amp;offset=0&amp;query=any,contains,991005087319702656","Catalog Record")</f>
        <v/>
      </c>
      <c r="AT1196">
        <f>HYPERLINK("http://www.worldcat.org/oclc/7197337","WorldCat Record")</f>
        <v/>
      </c>
      <c r="AU1196" t="inlineStr">
        <is>
          <t>437742:eng</t>
        </is>
      </c>
      <c r="AV1196" t="inlineStr">
        <is>
          <t>7197337</t>
        </is>
      </c>
      <c r="AW1196" t="inlineStr">
        <is>
          <t>991005087319702656</t>
        </is>
      </c>
      <c r="AX1196" t="inlineStr">
        <is>
          <t>991005087319702656</t>
        </is>
      </c>
      <c r="AY1196" t="inlineStr">
        <is>
          <t>2255581050002656</t>
        </is>
      </c>
      <c r="AZ1196" t="inlineStr">
        <is>
          <t>BOOK</t>
        </is>
      </c>
      <c r="BB1196" t="inlineStr">
        <is>
          <t>9780306406386</t>
        </is>
      </c>
      <c r="BC1196" t="inlineStr">
        <is>
          <t>32285001517530</t>
        </is>
      </c>
      <c r="BD1196" t="inlineStr">
        <is>
          <t>893254442</t>
        </is>
      </c>
    </row>
    <row r="1197">
      <c r="A1197" t="inlineStr">
        <is>
          <t>No</t>
        </is>
      </c>
      <c r="B1197" t="inlineStr">
        <is>
          <t>QD541 .A7</t>
        </is>
      </c>
      <c r="C1197" t="inlineStr">
        <is>
          <t>0                      QD 0541000A  7</t>
        </is>
      </c>
      <c r="D1197" t="inlineStr">
        <is>
          <t>Theories of solutions / by Svante Arrhenius.</t>
        </is>
      </c>
      <c r="F1197" t="inlineStr">
        <is>
          <t>No</t>
        </is>
      </c>
      <c r="G1197" t="inlineStr">
        <is>
          <t>1</t>
        </is>
      </c>
      <c r="H1197" t="inlineStr">
        <is>
          <t>No</t>
        </is>
      </c>
      <c r="I1197" t="inlineStr">
        <is>
          <t>No</t>
        </is>
      </c>
      <c r="J1197" t="inlineStr">
        <is>
          <t>0</t>
        </is>
      </c>
      <c r="K1197" t="inlineStr">
        <is>
          <t>Arrhenius, Svante, 1859-1927.</t>
        </is>
      </c>
      <c r="L1197" t="inlineStr">
        <is>
          <t>New Haven : Yale University Press, 1912.</t>
        </is>
      </c>
      <c r="M1197" t="inlineStr">
        <is>
          <t>1912</t>
        </is>
      </c>
      <c r="O1197" t="inlineStr">
        <is>
          <t>eng</t>
        </is>
      </c>
      <c r="P1197" t="inlineStr">
        <is>
          <t>ctu</t>
        </is>
      </c>
      <c r="Q1197" t="inlineStr">
        <is>
          <t>Yale University. Mrs. Hepsa Ely Silliman memorial lectures</t>
        </is>
      </c>
      <c r="R1197" t="inlineStr">
        <is>
          <t xml:space="preserve">QD </t>
        </is>
      </c>
      <c r="S1197" t="n">
        <v>4</v>
      </c>
      <c r="T1197" t="n">
        <v>4</v>
      </c>
      <c r="U1197" t="inlineStr">
        <is>
          <t>1996-04-09</t>
        </is>
      </c>
      <c r="V1197" t="inlineStr">
        <is>
          <t>1996-04-09</t>
        </is>
      </c>
      <c r="W1197" t="inlineStr">
        <is>
          <t>1992-12-17</t>
        </is>
      </c>
      <c r="X1197" t="inlineStr">
        <is>
          <t>1992-12-17</t>
        </is>
      </c>
      <c r="Y1197" t="n">
        <v>228</v>
      </c>
      <c r="Z1197" t="n">
        <v>153</v>
      </c>
      <c r="AA1197" t="n">
        <v>261</v>
      </c>
      <c r="AB1197" t="n">
        <v>1</v>
      </c>
      <c r="AC1197" t="n">
        <v>4</v>
      </c>
      <c r="AD1197" t="n">
        <v>6</v>
      </c>
      <c r="AE1197" t="n">
        <v>15</v>
      </c>
      <c r="AF1197" t="n">
        <v>0</v>
      </c>
      <c r="AG1197" t="n">
        <v>3</v>
      </c>
      <c r="AH1197" t="n">
        <v>3</v>
      </c>
      <c r="AI1197" t="n">
        <v>5</v>
      </c>
      <c r="AJ1197" t="n">
        <v>4</v>
      </c>
      <c r="AK1197" t="n">
        <v>7</v>
      </c>
      <c r="AL1197" t="n">
        <v>0</v>
      </c>
      <c r="AM1197" t="n">
        <v>3</v>
      </c>
      <c r="AN1197" t="n">
        <v>0</v>
      </c>
      <c r="AO1197" t="n">
        <v>0</v>
      </c>
      <c r="AP1197" t="inlineStr">
        <is>
          <t>Yes</t>
        </is>
      </c>
      <c r="AQ1197" t="inlineStr">
        <is>
          <t>No</t>
        </is>
      </c>
      <c r="AR1197">
        <f>HYPERLINK("http://catalog.hathitrust.org/Record/001034972","HathiTrust Record")</f>
        <v/>
      </c>
      <c r="AS1197">
        <f>HYPERLINK("https://creighton-primo.hosted.exlibrisgroup.com/primo-explore/search?tab=default_tab&amp;search_scope=EVERYTHING&amp;vid=01CRU&amp;lang=en_US&amp;offset=0&amp;query=any,contains,991003794529702656","Catalog Record")</f>
        <v/>
      </c>
      <c r="AT1197">
        <f>HYPERLINK("http://www.worldcat.org/oclc/1515453","WorldCat Record")</f>
        <v/>
      </c>
      <c r="AU1197" t="inlineStr">
        <is>
          <t>2345815:eng</t>
        </is>
      </c>
      <c r="AV1197" t="inlineStr">
        <is>
          <t>1515453</t>
        </is>
      </c>
      <c r="AW1197" t="inlineStr">
        <is>
          <t>991003794529702656</t>
        </is>
      </c>
      <c r="AX1197" t="inlineStr">
        <is>
          <t>991003794529702656</t>
        </is>
      </c>
      <c r="AY1197" t="inlineStr">
        <is>
          <t>2263915410002656</t>
        </is>
      </c>
      <c r="AZ1197" t="inlineStr">
        <is>
          <t>BOOK</t>
        </is>
      </c>
      <c r="BC1197" t="inlineStr">
        <is>
          <t>32285001403798</t>
        </is>
      </c>
      <c r="BD1197" t="inlineStr">
        <is>
          <t>893252796</t>
        </is>
      </c>
    </row>
    <row r="1198">
      <c r="A1198" t="inlineStr">
        <is>
          <t>No</t>
        </is>
      </c>
      <c r="B1198" t="inlineStr">
        <is>
          <t>QD541 .D7</t>
        </is>
      </c>
      <c r="C1198" t="inlineStr">
        <is>
          <t>0                      QD 0541000D  7</t>
        </is>
      </c>
      <c r="D1198" t="inlineStr">
        <is>
          <t>Liquids and solutions.</t>
        </is>
      </c>
      <c r="F1198" t="inlineStr">
        <is>
          <t>No</t>
        </is>
      </c>
      <c r="G1198" t="inlineStr">
        <is>
          <t>1</t>
        </is>
      </c>
      <c r="H1198" t="inlineStr">
        <is>
          <t>No</t>
        </is>
      </c>
      <c r="I1198" t="inlineStr">
        <is>
          <t>No</t>
        </is>
      </c>
      <c r="J1198" t="inlineStr">
        <is>
          <t>0</t>
        </is>
      </c>
      <c r="K1198" t="inlineStr">
        <is>
          <t>Dreisbach, Dale.</t>
        </is>
      </c>
      <c r="L1198" t="inlineStr">
        <is>
          <t>Boston, Houghton Mifflin [1966]</t>
        </is>
      </c>
      <c r="M1198" t="inlineStr">
        <is>
          <t>1966</t>
        </is>
      </c>
      <c r="O1198" t="inlineStr">
        <is>
          <t>eng</t>
        </is>
      </c>
      <c r="P1198" t="inlineStr">
        <is>
          <t>mau</t>
        </is>
      </c>
      <c r="Q1198" t="inlineStr">
        <is>
          <t>Classic researches in general chemistry ; G-3</t>
        </is>
      </c>
      <c r="R1198" t="inlineStr">
        <is>
          <t xml:space="preserve">QD </t>
        </is>
      </c>
      <c r="S1198" t="n">
        <v>7</v>
      </c>
      <c r="T1198" t="n">
        <v>7</v>
      </c>
      <c r="U1198" t="inlineStr">
        <is>
          <t>2005-09-28</t>
        </is>
      </c>
      <c r="V1198" t="inlineStr">
        <is>
          <t>2005-09-28</t>
        </is>
      </c>
      <c r="W1198" t="inlineStr">
        <is>
          <t>1997-06-17</t>
        </is>
      </c>
      <c r="X1198" t="inlineStr">
        <is>
          <t>1997-06-17</t>
        </is>
      </c>
      <c r="Y1198" t="n">
        <v>455</v>
      </c>
      <c r="Z1198" t="n">
        <v>384</v>
      </c>
      <c r="AA1198" t="n">
        <v>385</v>
      </c>
      <c r="AB1198" t="n">
        <v>5</v>
      </c>
      <c r="AC1198" t="n">
        <v>5</v>
      </c>
      <c r="AD1198" t="n">
        <v>17</v>
      </c>
      <c r="AE1198" t="n">
        <v>17</v>
      </c>
      <c r="AF1198" t="n">
        <v>6</v>
      </c>
      <c r="AG1198" t="n">
        <v>6</v>
      </c>
      <c r="AH1198" t="n">
        <v>3</v>
      </c>
      <c r="AI1198" t="n">
        <v>3</v>
      </c>
      <c r="AJ1198" t="n">
        <v>7</v>
      </c>
      <c r="AK1198" t="n">
        <v>7</v>
      </c>
      <c r="AL1198" t="n">
        <v>4</v>
      </c>
      <c r="AM1198" t="n">
        <v>4</v>
      </c>
      <c r="AN1198" t="n">
        <v>0</v>
      </c>
      <c r="AO1198" t="n">
        <v>0</v>
      </c>
      <c r="AP1198" t="inlineStr">
        <is>
          <t>No</t>
        </is>
      </c>
      <c r="AQ1198" t="inlineStr">
        <is>
          <t>Yes</t>
        </is>
      </c>
      <c r="AR1198">
        <f>HYPERLINK("http://catalog.hathitrust.org/Record/006167505","HathiTrust Record")</f>
        <v/>
      </c>
      <c r="AS1198">
        <f>HYPERLINK("https://creighton-primo.hosted.exlibrisgroup.com/primo-explore/search?tab=default_tab&amp;search_scope=EVERYTHING&amp;vid=01CRU&amp;lang=en_US&amp;offset=0&amp;query=any,contains,991002965199702656","Catalog Record")</f>
        <v/>
      </c>
      <c r="AT1198">
        <f>HYPERLINK("http://www.worldcat.org/oclc/545517","WorldCat Record")</f>
        <v/>
      </c>
      <c r="AU1198" t="inlineStr">
        <is>
          <t>1577302:eng</t>
        </is>
      </c>
      <c r="AV1198" t="inlineStr">
        <is>
          <t>545517</t>
        </is>
      </c>
      <c r="AW1198" t="inlineStr">
        <is>
          <t>991002965199702656</t>
        </is>
      </c>
      <c r="AX1198" t="inlineStr">
        <is>
          <t>991002965199702656</t>
        </is>
      </c>
      <c r="AY1198" t="inlineStr">
        <is>
          <t>2264537180002656</t>
        </is>
      </c>
      <c r="AZ1198" t="inlineStr">
        <is>
          <t>BOOK</t>
        </is>
      </c>
      <c r="BC1198" t="inlineStr">
        <is>
          <t>32285002808466</t>
        </is>
      </c>
      <c r="BD1198" t="inlineStr">
        <is>
          <t>893498777</t>
        </is>
      </c>
    </row>
    <row r="1199">
      <c r="A1199" t="inlineStr">
        <is>
          <t>No</t>
        </is>
      </c>
      <c r="B1199" t="inlineStr">
        <is>
          <t>QD541 .E4</t>
        </is>
      </c>
      <c r="C1199" t="inlineStr">
        <is>
          <t>0                      QD 0541000E  4</t>
        </is>
      </c>
      <c r="D1199" t="inlineStr">
        <is>
          <t>An introduction to the liquid state / [by] P. A. Egelstaff.</t>
        </is>
      </c>
      <c r="F1199" t="inlineStr">
        <is>
          <t>No</t>
        </is>
      </c>
      <c r="G1199" t="inlineStr">
        <is>
          <t>1</t>
        </is>
      </c>
      <c r="H1199" t="inlineStr">
        <is>
          <t>No</t>
        </is>
      </c>
      <c r="I1199" t="inlineStr">
        <is>
          <t>No</t>
        </is>
      </c>
      <c r="J1199" t="inlineStr">
        <is>
          <t>0</t>
        </is>
      </c>
      <c r="K1199" t="inlineStr">
        <is>
          <t>Egelstaff, P. A. (Peter A.)</t>
        </is>
      </c>
      <c r="L1199" t="inlineStr">
        <is>
          <t>London ; New York : Academic P., 1967.</t>
        </is>
      </c>
      <c r="M1199" t="inlineStr">
        <is>
          <t>1967</t>
        </is>
      </c>
      <c r="O1199" t="inlineStr">
        <is>
          <t>eng</t>
        </is>
      </c>
      <c r="P1199" t="inlineStr">
        <is>
          <t>enk</t>
        </is>
      </c>
      <c r="R1199" t="inlineStr">
        <is>
          <t xml:space="preserve">QD </t>
        </is>
      </c>
      <c r="S1199" t="n">
        <v>8</v>
      </c>
      <c r="T1199" t="n">
        <v>8</v>
      </c>
      <c r="U1199" t="inlineStr">
        <is>
          <t>2005-03-30</t>
        </is>
      </c>
      <c r="V1199" t="inlineStr">
        <is>
          <t>2005-03-30</t>
        </is>
      </c>
      <c r="W1199" t="inlineStr">
        <is>
          <t>1990-09-07</t>
        </is>
      </c>
      <c r="X1199" t="inlineStr">
        <is>
          <t>1990-09-07</t>
        </is>
      </c>
      <c r="Y1199" t="n">
        <v>458</v>
      </c>
      <c r="Z1199" t="n">
        <v>321</v>
      </c>
      <c r="AA1199" t="n">
        <v>365</v>
      </c>
      <c r="AB1199" t="n">
        <v>3</v>
      </c>
      <c r="AC1199" t="n">
        <v>3</v>
      </c>
      <c r="AD1199" t="n">
        <v>18</v>
      </c>
      <c r="AE1199" t="n">
        <v>21</v>
      </c>
      <c r="AF1199" t="n">
        <v>6</v>
      </c>
      <c r="AG1199" t="n">
        <v>8</v>
      </c>
      <c r="AH1199" t="n">
        <v>4</v>
      </c>
      <c r="AI1199" t="n">
        <v>6</v>
      </c>
      <c r="AJ1199" t="n">
        <v>11</v>
      </c>
      <c r="AK1199" t="n">
        <v>11</v>
      </c>
      <c r="AL1199" t="n">
        <v>2</v>
      </c>
      <c r="AM1199" t="n">
        <v>2</v>
      </c>
      <c r="AN1199" t="n">
        <v>0</v>
      </c>
      <c r="AO1199" t="n">
        <v>0</v>
      </c>
      <c r="AP1199" t="inlineStr">
        <is>
          <t>No</t>
        </is>
      </c>
      <c r="AQ1199" t="inlineStr">
        <is>
          <t>Yes</t>
        </is>
      </c>
      <c r="AR1199">
        <f>HYPERLINK("http://catalog.hathitrust.org/Record/001114276","HathiTrust Record")</f>
        <v/>
      </c>
      <c r="AS1199">
        <f>HYPERLINK("https://creighton-primo.hosted.exlibrisgroup.com/primo-explore/search?tab=default_tab&amp;search_scope=EVERYTHING&amp;vid=01CRU&amp;lang=en_US&amp;offset=0&amp;query=any,contains,991002960139702656","Catalog Record")</f>
        <v/>
      </c>
      <c r="AT1199">
        <f>HYPERLINK("http://www.worldcat.org/oclc/543681","WorldCat Record")</f>
        <v/>
      </c>
      <c r="AU1199" t="inlineStr">
        <is>
          <t>1574119:eng</t>
        </is>
      </c>
      <c r="AV1199" t="inlineStr">
        <is>
          <t>543681</t>
        </is>
      </c>
      <c r="AW1199" t="inlineStr">
        <is>
          <t>991002960139702656</t>
        </is>
      </c>
      <c r="AX1199" t="inlineStr">
        <is>
          <t>991002960139702656</t>
        </is>
      </c>
      <c r="AY1199" t="inlineStr">
        <is>
          <t>2265381080002656</t>
        </is>
      </c>
      <c r="AZ1199" t="inlineStr">
        <is>
          <t>BOOK</t>
        </is>
      </c>
      <c r="BC1199" t="inlineStr">
        <is>
          <t>32285000301027</t>
        </is>
      </c>
      <c r="BD1199" t="inlineStr">
        <is>
          <t>893704731</t>
        </is>
      </c>
    </row>
    <row r="1200">
      <c r="A1200" t="inlineStr">
        <is>
          <t>No</t>
        </is>
      </c>
      <c r="B1200" t="inlineStr">
        <is>
          <t>QD541 .G78</t>
        </is>
      </c>
      <c r="C1200" t="inlineStr">
        <is>
          <t>0                      QD 0541000G  78</t>
        </is>
      </c>
      <c r="D1200" t="inlineStr">
        <is>
          <t>Mixtures; the theory of the equilibrium properties of some simple classes of mixtures, solutions and alloys / E.A. Guggenheim.</t>
        </is>
      </c>
      <c r="F1200" t="inlineStr">
        <is>
          <t>No</t>
        </is>
      </c>
      <c r="G1200" t="inlineStr">
        <is>
          <t>1</t>
        </is>
      </c>
      <c r="H1200" t="inlineStr">
        <is>
          <t>No</t>
        </is>
      </c>
      <c r="I1200" t="inlineStr">
        <is>
          <t>No</t>
        </is>
      </c>
      <c r="J1200" t="inlineStr">
        <is>
          <t>0</t>
        </is>
      </c>
      <c r="K1200" t="inlineStr">
        <is>
          <t>Guggenheim, E. A. (Edward Armand), 1901-1970.</t>
        </is>
      </c>
      <c r="L1200" t="inlineStr">
        <is>
          <t>Oxford : Clarendon Press, 1952.</t>
        </is>
      </c>
      <c r="M1200" t="inlineStr">
        <is>
          <t>1952</t>
        </is>
      </c>
      <c r="O1200" t="inlineStr">
        <is>
          <t>eng</t>
        </is>
      </c>
      <c r="P1200" t="inlineStr">
        <is>
          <t>enk</t>
        </is>
      </c>
      <c r="Q1200" t="inlineStr">
        <is>
          <t>The International series of monographs on physics</t>
        </is>
      </c>
      <c r="R1200" t="inlineStr">
        <is>
          <t xml:space="preserve">QD </t>
        </is>
      </c>
      <c r="S1200" t="n">
        <v>1</v>
      </c>
      <c r="T1200" t="n">
        <v>1</v>
      </c>
      <c r="U1200" t="inlineStr">
        <is>
          <t>1996-04-09</t>
        </is>
      </c>
      <c r="V1200" t="inlineStr">
        <is>
          <t>1996-04-09</t>
        </is>
      </c>
      <c r="W1200" t="inlineStr">
        <is>
          <t>1993-02-11</t>
        </is>
      </c>
      <c r="X1200" t="inlineStr">
        <is>
          <t>1993-02-11</t>
        </is>
      </c>
      <c r="Y1200" t="n">
        <v>299</v>
      </c>
      <c r="Z1200" t="n">
        <v>189</v>
      </c>
      <c r="AA1200" t="n">
        <v>196</v>
      </c>
      <c r="AB1200" t="n">
        <v>2</v>
      </c>
      <c r="AC1200" t="n">
        <v>2</v>
      </c>
      <c r="AD1200" t="n">
        <v>8</v>
      </c>
      <c r="AE1200" t="n">
        <v>8</v>
      </c>
      <c r="AF1200" t="n">
        <v>0</v>
      </c>
      <c r="AG1200" t="n">
        <v>0</v>
      </c>
      <c r="AH1200" t="n">
        <v>4</v>
      </c>
      <c r="AI1200" t="n">
        <v>4</v>
      </c>
      <c r="AJ1200" t="n">
        <v>5</v>
      </c>
      <c r="AK1200" t="n">
        <v>5</v>
      </c>
      <c r="AL1200" t="n">
        <v>1</v>
      </c>
      <c r="AM1200" t="n">
        <v>1</v>
      </c>
      <c r="AN1200" t="n">
        <v>0</v>
      </c>
      <c r="AO1200" t="n">
        <v>0</v>
      </c>
      <c r="AP1200" t="inlineStr">
        <is>
          <t>No</t>
        </is>
      </c>
      <c r="AQ1200" t="inlineStr">
        <is>
          <t>Yes</t>
        </is>
      </c>
      <c r="AR1200">
        <f>HYPERLINK("http://catalog.hathitrust.org/Record/001112745","HathiTrust Record")</f>
        <v/>
      </c>
      <c r="AS1200">
        <f>HYPERLINK("https://creighton-primo.hosted.exlibrisgroup.com/primo-explore/search?tab=default_tab&amp;search_scope=EVERYTHING&amp;vid=01CRU&amp;lang=en_US&amp;offset=0&amp;query=any,contains,991003919239702656","Catalog Record")</f>
        <v/>
      </c>
      <c r="AT1200">
        <f>HYPERLINK("http://www.worldcat.org/oclc/1866289","WorldCat Record")</f>
        <v/>
      </c>
      <c r="AU1200" t="inlineStr">
        <is>
          <t>429874296:eng</t>
        </is>
      </c>
      <c r="AV1200" t="inlineStr">
        <is>
          <t>1866289</t>
        </is>
      </c>
      <c r="AW1200" t="inlineStr">
        <is>
          <t>991003919239702656</t>
        </is>
      </c>
      <c r="AX1200" t="inlineStr">
        <is>
          <t>991003919239702656</t>
        </is>
      </c>
      <c r="AY1200" t="inlineStr">
        <is>
          <t>2262451760002656</t>
        </is>
      </c>
      <c r="AZ1200" t="inlineStr">
        <is>
          <t>BOOK</t>
        </is>
      </c>
      <c r="BC1200" t="inlineStr">
        <is>
          <t>32285001517548</t>
        </is>
      </c>
      <c r="BD1200" t="inlineStr">
        <is>
          <t>893337130</t>
        </is>
      </c>
    </row>
    <row r="1201">
      <c r="A1201" t="inlineStr">
        <is>
          <t>No</t>
        </is>
      </c>
      <c r="B1201" t="inlineStr">
        <is>
          <t>QD541 .M338</t>
        </is>
      </c>
      <c r="C1201" t="inlineStr">
        <is>
          <t>0                      QD 0541000M  338</t>
        </is>
      </c>
      <c r="D1201" t="inlineStr">
        <is>
          <t>Introduction to liquid state chemistry / Y. Marcus.</t>
        </is>
      </c>
      <c r="F1201" t="inlineStr">
        <is>
          <t>No</t>
        </is>
      </c>
      <c r="G1201" t="inlineStr">
        <is>
          <t>1</t>
        </is>
      </c>
      <c r="H1201" t="inlineStr">
        <is>
          <t>No</t>
        </is>
      </c>
      <c r="I1201" t="inlineStr">
        <is>
          <t>No</t>
        </is>
      </c>
      <c r="J1201" t="inlineStr">
        <is>
          <t>0</t>
        </is>
      </c>
      <c r="K1201" t="inlineStr">
        <is>
          <t>Marcus, Y.</t>
        </is>
      </c>
      <c r="L1201" t="inlineStr">
        <is>
          <t>London ; New York : Wiley, c1977.</t>
        </is>
      </c>
      <c r="M1201" t="inlineStr">
        <is>
          <t>1977</t>
        </is>
      </c>
      <c r="O1201" t="inlineStr">
        <is>
          <t>eng</t>
        </is>
      </c>
      <c r="P1201" t="inlineStr">
        <is>
          <t>enk</t>
        </is>
      </c>
      <c r="R1201" t="inlineStr">
        <is>
          <t xml:space="preserve">QD </t>
        </is>
      </c>
      <c r="S1201" t="n">
        <v>1</v>
      </c>
      <c r="T1201" t="n">
        <v>1</v>
      </c>
      <c r="U1201" t="inlineStr">
        <is>
          <t>2002-03-19</t>
        </is>
      </c>
      <c r="V1201" t="inlineStr">
        <is>
          <t>2002-03-19</t>
        </is>
      </c>
      <c r="W1201" t="inlineStr">
        <is>
          <t>1997-06-17</t>
        </is>
      </c>
      <c r="X1201" t="inlineStr">
        <is>
          <t>1997-06-17</t>
        </is>
      </c>
      <c r="Y1201" t="n">
        <v>420</v>
      </c>
      <c r="Z1201" t="n">
        <v>304</v>
      </c>
      <c r="AA1201" t="n">
        <v>311</v>
      </c>
      <c r="AB1201" t="n">
        <v>4</v>
      </c>
      <c r="AC1201" t="n">
        <v>4</v>
      </c>
      <c r="AD1201" t="n">
        <v>14</v>
      </c>
      <c r="AE1201" t="n">
        <v>14</v>
      </c>
      <c r="AF1201" t="n">
        <v>5</v>
      </c>
      <c r="AG1201" t="n">
        <v>5</v>
      </c>
      <c r="AH1201" t="n">
        <v>5</v>
      </c>
      <c r="AI1201" t="n">
        <v>5</v>
      </c>
      <c r="AJ1201" t="n">
        <v>5</v>
      </c>
      <c r="AK1201" t="n">
        <v>5</v>
      </c>
      <c r="AL1201" t="n">
        <v>3</v>
      </c>
      <c r="AM1201" t="n">
        <v>3</v>
      </c>
      <c r="AN1201" t="n">
        <v>0</v>
      </c>
      <c r="AO1201" t="n">
        <v>0</v>
      </c>
      <c r="AP1201" t="inlineStr">
        <is>
          <t>No</t>
        </is>
      </c>
      <c r="AQ1201" t="inlineStr">
        <is>
          <t>Yes</t>
        </is>
      </c>
      <c r="AR1201">
        <f>HYPERLINK("http://catalog.hathitrust.org/Record/006248116","HathiTrust Record")</f>
        <v/>
      </c>
      <c r="AS1201">
        <f>HYPERLINK("https://creighton-primo.hosted.exlibrisgroup.com/primo-explore/search?tab=default_tab&amp;search_scope=EVERYTHING&amp;vid=01CRU&amp;lang=en_US&amp;offset=0&amp;query=any,contains,991004178029702656","Catalog Record")</f>
        <v/>
      </c>
      <c r="AT1201">
        <f>HYPERLINK("http://www.worldcat.org/oclc/2598104","WorldCat Record")</f>
        <v/>
      </c>
      <c r="AU1201" t="inlineStr">
        <is>
          <t>5732835:eng</t>
        </is>
      </c>
      <c r="AV1201" t="inlineStr">
        <is>
          <t>2598104</t>
        </is>
      </c>
      <c r="AW1201" t="inlineStr">
        <is>
          <t>991004178029702656</t>
        </is>
      </c>
      <c r="AX1201" t="inlineStr">
        <is>
          <t>991004178029702656</t>
        </is>
      </c>
      <c r="AY1201" t="inlineStr">
        <is>
          <t>2265853670002656</t>
        </is>
      </c>
      <c r="AZ1201" t="inlineStr">
        <is>
          <t>BOOK</t>
        </is>
      </c>
      <c r="BB1201" t="inlineStr">
        <is>
          <t>9780471994480</t>
        </is>
      </c>
      <c r="BC1201" t="inlineStr">
        <is>
          <t>32285002808524</t>
        </is>
      </c>
      <c r="BD1201" t="inlineStr">
        <is>
          <t>893806762</t>
        </is>
      </c>
    </row>
    <row r="1202">
      <c r="A1202" t="inlineStr">
        <is>
          <t>No</t>
        </is>
      </c>
      <c r="B1202" t="inlineStr">
        <is>
          <t>QD541 .M9</t>
        </is>
      </c>
      <c r="C1202" t="inlineStr">
        <is>
          <t>0                      QD 0541000M  9</t>
        </is>
      </c>
      <c r="D1202" t="inlineStr">
        <is>
          <t>Properties of liquids and solutions / J.N. Murrell and E.A. Boucher.</t>
        </is>
      </c>
      <c r="F1202" t="inlineStr">
        <is>
          <t>No</t>
        </is>
      </c>
      <c r="G1202" t="inlineStr">
        <is>
          <t>1</t>
        </is>
      </c>
      <c r="H1202" t="inlineStr">
        <is>
          <t>No</t>
        </is>
      </c>
      <c r="I1202" t="inlineStr">
        <is>
          <t>No</t>
        </is>
      </c>
      <c r="J1202" t="inlineStr">
        <is>
          <t>0</t>
        </is>
      </c>
      <c r="K1202" t="inlineStr">
        <is>
          <t>Murrell, J. N. (John Norman)</t>
        </is>
      </c>
      <c r="L1202" t="inlineStr">
        <is>
          <t>Chichester ; New York : Wiley, c1982.</t>
        </is>
      </c>
      <c r="M1202" t="inlineStr">
        <is>
          <t>1982</t>
        </is>
      </c>
      <c r="O1202" t="inlineStr">
        <is>
          <t>eng</t>
        </is>
      </c>
      <c r="P1202" t="inlineStr">
        <is>
          <t>enk</t>
        </is>
      </c>
      <c r="R1202" t="inlineStr">
        <is>
          <t xml:space="preserve">QD </t>
        </is>
      </c>
      <c r="S1202" t="n">
        <v>9</v>
      </c>
      <c r="T1202" t="n">
        <v>9</v>
      </c>
      <c r="U1202" t="inlineStr">
        <is>
          <t>2005-03-30</t>
        </is>
      </c>
      <c r="V1202" t="inlineStr">
        <is>
          <t>2005-03-30</t>
        </is>
      </c>
      <c r="W1202" t="inlineStr">
        <is>
          <t>1993-02-11</t>
        </is>
      </c>
      <c r="X1202" t="inlineStr">
        <is>
          <t>1993-02-11</t>
        </is>
      </c>
      <c r="Y1202" t="n">
        <v>457</v>
      </c>
      <c r="Z1202" t="n">
        <v>353</v>
      </c>
      <c r="AA1202" t="n">
        <v>470</v>
      </c>
      <c r="AB1202" t="n">
        <v>2</v>
      </c>
      <c r="AC1202" t="n">
        <v>3</v>
      </c>
      <c r="AD1202" t="n">
        <v>17</v>
      </c>
      <c r="AE1202" t="n">
        <v>25</v>
      </c>
      <c r="AF1202" t="n">
        <v>9</v>
      </c>
      <c r="AG1202" t="n">
        <v>10</v>
      </c>
      <c r="AH1202" t="n">
        <v>3</v>
      </c>
      <c r="AI1202" t="n">
        <v>5</v>
      </c>
      <c r="AJ1202" t="n">
        <v>11</v>
      </c>
      <c r="AK1202" t="n">
        <v>16</v>
      </c>
      <c r="AL1202" t="n">
        <v>1</v>
      </c>
      <c r="AM1202" t="n">
        <v>2</v>
      </c>
      <c r="AN1202" t="n">
        <v>0</v>
      </c>
      <c r="AO1202" t="n">
        <v>0</v>
      </c>
      <c r="AP1202" t="inlineStr">
        <is>
          <t>No</t>
        </is>
      </c>
      <c r="AQ1202" t="inlineStr">
        <is>
          <t>Yes</t>
        </is>
      </c>
      <c r="AR1202">
        <f>HYPERLINK("http://catalog.hathitrust.org/Record/000106154","HathiTrust Record")</f>
        <v/>
      </c>
      <c r="AS1202">
        <f>HYPERLINK("https://creighton-primo.hosted.exlibrisgroup.com/primo-explore/search?tab=default_tab&amp;search_scope=EVERYTHING&amp;vid=01CRU&amp;lang=en_US&amp;offset=0&amp;query=any,contains,991005192919702656","Catalog Record")</f>
        <v/>
      </c>
      <c r="AT1202">
        <f>HYPERLINK("http://www.worldcat.org/oclc/8031559","WorldCat Record")</f>
        <v/>
      </c>
      <c r="AU1202" t="inlineStr">
        <is>
          <t>30402874:eng</t>
        </is>
      </c>
      <c r="AV1202" t="inlineStr">
        <is>
          <t>8031559</t>
        </is>
      </c>
      <c r="AW1202" t="inlineStr">
        <is>
          <t>991005192919702656</t>
        </is>
      </c>
      <c r="AX1202" t="inlineStr">
        <is>
          <t>991005192919702656</t>
        </is>
      </c>
      <c r="AY1202" t="inlineStr">
        <is>
          <t>2259394250002656</t>
        </is>
      </c>
      <c r="AZ1202" t="inlineStr">
        <is>
          <t>BOOK</t>
        </is>
      </c>
      <c r="BB1202" t="inlineStr">
        <is>
          <t>9780471102014</t>
        </is>
      </c>
      <c r="BC1202" t="inlineStr">
        <is>
          <t>32285001517555</t>
        </is>
      </c>
      <c r="BD1202" t="inlineStr">
        <is>
          <t>893783175</t>
        </is>
      </c>
    </row>
    <row r="1203">
      <c r="A1203" t="inlineStr">
        <is>
          <t>No</t>
        </is>
      </c>
      <c r="B1203" t="inlineStr">
        <is>
          <t>QD541 .R37 1988</t>
        </is>
      </c>
      <c r="C1203" t="inlineStr">
        <is>
          <t>0                      QD 0541000R  37          1988</t>
        </is>
      </c>
      <c r="D1203" t="inlineStr">
        <is>
          <t>Solvents and solvent effects in organic chemistry / Christian Reichardt.</t>
        </is>
      </c>
      <c r="F1203" t="inlineStr">
        <is>
          <t>No</t>
        </is>
      </c>
      <c r="G1203" t="inlineStr">
        <is>
          <t>1</t>
        </is>
      </c>
      <c r="H1203" t="inlineStr">
        <is>
          <t>No</t>
        </is>
      </c>
      <c r="I1203" t="inlineStr">
        <is>
          <t>No</t>
        </is>
      </c>
      <c r="J1203" t="inlineStr">
        <is>
          <t>0</t>
        </is>
      </c>
      <c r="K1203" t="inlineStr">
        <is>
          <t>Reichardt, C. (Christian)</t>
        </is>
      </c>
      <c r="L1203" t="inlineStr">
        <is>
          <t>Weinheim, Federal Republic of Germany ; New York, NY, USA : VCH, 1988.</t>
        </is>
      </c>
      <c r="M1203" t="inlineStr">
        <is>
          <t>1988</t>
        </is>
      </c>
      <c r="N1203" t="inlineStr">
        <is>
          <t>2nd rev. and enl. ed.</t>
        </is>
      </c>
      <c r="O1203" t="inlineStr">
        <is>
          <t>eng</t>
        </is>
      </c>
      <c r="P1203" t="inlineStr">
        <is>
          <t xml:space="preserve">gw </t>
        </is>
      </c>
      <c r="R1203" t="inlineStr">
        <is>
          <t xml:space="preserve">QD </t>
        </is>
      </c>
      <c r="S1203" t="n">
        <v>2</v>
      </c>
      <c r="T1203" t="n">
        <v>2</v>
      </c>
      <c r="U1203" t="inlineStr">
        <is>
          <t>1996-06-18</t>
        </is>
      </c>
      <c r="V1203" t="inlineStr">
        <is>
          <t>1996-06-18</t>
        </is>
      </c>
      <c r="W1203" t="inlineStr">
        <is>
          <t>1990-02-21</t>
        </is>
      </c>
      <c r="X1203" t="inlineStr">
        <is>
          <t>1990-02-21</t>
        </is>
      </c>
      <c r="Y1203" t="n">
        <v>563</v>
      </c>
      <c r="Z1203" t="n">
        <v>413</v>
      </c>
      <c r="AA1203" t="n">
        <v>632</v>
      </c>
      <c r="AB1203" t="n">
        <v>4</v>
      </c>
      <c r="AC1203" t="n">
        <v>5</v>
      </c>
      <c r="AD1203" t="n">
        <v>21</v>
      </c>
      <c r="AE1203" t="n">
        <v>32</v>
      </c>
      <c r="AF1203" t="n">
        <v>9</v>
      </c>
      <c r="AG1203" t="n">
        <v>13</v>
      </c>
      <c r="AH1203" t="n">
        <v>7</v>
      </c>
      <c r="AI1203" t="n">
        <v>8</v>
      </c>
      <c r="AJ1203" t="n">
        <v>8</v>
      </c>
      <c r="AK1203" t="n">
        <v>15</v>
      </c>
      <c r="AL1203" t="n">
        <v>3</v>
      </c>
      <c r="AM1203" t="n">
        <v>4</v>
      </c>
      <c r="AN1203" t="n">
        <v>0</v>
      </c>
      <c r="AO1203" t="n">
        <v>0</v>
      </c>
      <c r="AP1203" t="inlineStr">
        <is>
          <t>No</t>
        </is>
      </c>
      <c r="AQ1203" t="inlineStr">
        <is>
          <t>Yes</t>
        </is>
      </c>
      <c r="AR1203">
        <f>HYPERLINK("http://catalog.hathitrust.org/Record/000940129","HathiTrust Record")</f>
        <v/>
      </c>
      <c r="AS1203">
        <f>HYPERLINK("https://creighton-primo.hosted.exlibrisgroup.com/primo-explore/search?tab=default_tab&amp;search_scope=EVERYTHING&amp;vid=01CRU&amp;lang=en_US&amp;offset=0&amp;query=any,contains,991001308859702656","Catalog Record")</f>
        <v/>
      </c>
      <c r="AT1203">
        <f>HYPERLINK("http://www.worldcat.org/oclc/18135220","WorldCat Record")</f>
        <v/>
      </c>
      <c r="AU1203" t="inlineStr">
        <is>
          <t>198997989:eng</t>
        </is>
      </c>
      <c r="AV1203" t="inlineStr">
        <is>
          <t>18135220</t>
        </is>
      </c>
      <c r="AW1203" t="inlineStr">
        <is>
          <t>991001308859702656</t>
        </is>
      </c>
      <c r="AX1203" t="inlineStr">
        <is>
          <t>991001308859702656</t>
        </is>
      </c>
      <c r="AY1203" t="inlineStr">
        <is>
          <t>2260429550002656</t>
        </is>
      </c>
      <c r="AZ1203" t="inlineStr">
        <is>
          <t>BOOK</t>
        </is>
      </c>
      <c r="BB1203" t="inlineStr">
        <is>
          <t>9780895736840</t>
        </is>
      </c>
      <c r="BC1203" t="inlineStr">
        <is>
          <t>32285000055433</t>
        </is>
      </c>
      <c r="BD1203" t="inlineStr">
        <is>
          <t>893439052</t>
        </is>
      </c>
    </row>
    <row r="1204">
      <c r="A1204" t="inlineStr">
        <is>
          <t>No</t>
        </is>
      </c>
      <c r="B1204" t="inlineStr">
        <is>
          <t>QD541.W33</t>
        </is>
      </c>
      <c r="C1204" t="inlineStr">
        <is>
          <t>0                      QD 0541000W  33</t>
        </is>
      </c>
      <c r="D1204" t="inlineStr">
        <is>
          <t>Liquid state chemical physics / R. O. Watts, I. J. McGee.</t>
        </is>
      </c>
      <c r="F1204" t="inlineStr">
        <is>
          <t>No</t>
        </is>
      </c>
      <c r="G1204" t="inlineStr">
        <is>
          <t>1</t>
        </is>
      </c>
      <c r="H1204" t="inlineStr">
        <is>
          <t>No</t>
        </is>
      </c>
      <c r="I1204" t="inlineStr">
        <is>
          <t>No</t>
        </is>
      </c>
      <c r="J1204" t="inlineStr">
        <is>
          <t>0</t>
        </is>
      </c>
      <c r="K1204" t="inlineStr">
        <is>
          <t>Watts, R. O. (Robert Oliver)</t>
        </is>
      </c>
      <c r="L1204" t="inlineStr">
        <is>
          <t>New York : Wiley, c1976.</t>
        </is>
      </c>
      <c r="M1204" t="inlineStr">
        <is>
          <t>1976</t>
        </is>
      </c>
      <c r="O1204" t="inlineStr">
        <is>
          <t>eng</t>
        </is>
      </c>
      <c r="P1204" t="inlineStr">
        <is>
          <t>nyu</t>
        </is>
      </c>
      <c r="R1204" t="inlineStr">
        <is>
          <t xml:space="preserve">QD </t>
        </is>
      </c>
      <c r="S1204" t="n">
        <v>2</v>
      </c>
      <c r="T1204" t="n">
        <v>2</v>
      </c>
      <c r="U1204" t="inlineStr">
        <is>
          <t>2004-04-06</t>
        </is>
      </c>
      <c r="V1204" t="inlineStr">
        <is>
          <t>2004-04-06</t>
        </is>
      </c>
      <c r="W1204" t="inlineStr">
        <is>
          <t>1997-06-17</t>
        </is>
      </c>
      <c r="X1204" t="inlineStr">
        <is>
          <t>1997-06-17</t>
        </is>
      </c>
      <c r="Y1204" t="n">
        <v>280</v>
      </c>
      <c r="Z1204" t="n">
        <v>189</v>
      </c>
      <c r="AA1204" t="n">
        <v>191</v>
      </c>
      <c r="AB1204" t="n">
        <v>3</v>
      </c>
      <c r="AC1204" t="n">
        <v>3</v>
      </c>
      <c r="AD1204" t="n">
        <v>7</v>
      </c>
      <c r="AE1204" t="n">
        <v>7</v>
      </c>
      <c r="AF1204" t="n">
        <v>0</v>
      </c>
      <c r="AG1204" t="n">
        <v>0</v>
      </c>
      <c r="AH1204" t="n">
        <v>3</v>
      </c>
      <c r="AI1204" t="n">
        <v>3</v>
      </c>
      <c r="AJ1204" t="n">
        <v>3</v>
      </c>
      <c r="AK1204" t="n">
        <v>3</v>
      </c>
      <c r="AL1204" t="n">
        <v>2</v>
      </c>
      <c r="AM1204" t="n">
        <v>2</v>
      </c>
      <c r="AN1204" t="n">
        <v>0</v>
      </c>
      <c r="AO1204" t="n">
        <v>0</v>
      </c>
      <c r="AP1204" t="inlineStr">
        <is>
          <t>No</t>
        </is>
      </c>
      <c r="AQ1204" t="inlineStr">
        <is>
          <t>Yes</t>
        </is>
      </c>
      <c r="AR1204">
        <f>HYPERLINK("http://catalog.hathitrust.org/Record/006248117","HathiTrust Record")</f>
        <v/>
      </c>
      <c r="AS1204">
        <f>HYPERLINK("https://creighton-primo.hosted.exlibrisgroup.com/primo-explore/search?tab=default_tab&amp;search_scope=EVERYTHING&amp;vid=01CRU&amp;lang=en_US&amp;offset=0&amp;query=any,contains,991004086379702656","Catalog Record")</f>
        <v/>
      </c>
      <c r="AT1204">
        <f>HYPERLINK("http://www.worldcat.org/oclc/2332178","WorldCat Record")</f>
        <v/>
      </c>
      <c r="AU1204" t="inlineStr">
        <is>
          <t>180100034:eng</t>
        </is>
      </c>
      <c r="AV1204" t="inlineStr">
        <is>
          <t>2332178</t>
        </is>
      </c>
      <c r="AW1204" t="inlineStr">
        <is>
          <t>991004086379702656</t>
        </is>
      </c>
      <c r="AX1204" t="inlineStr">
        <is>
          <t>991004086379702656</t>
        </is>
      </c>
      <c r="AY1204" t="inlineStr">
        <is>
          <t>2264213350002656</t>
        </is>
      </c>
      <c r="AZ1204" t="inlineStr">
        <is>
          <t>BOOK</t>
        </is>
      </c>
      <c r="BB1204" t="inlineStr">
        <is>
          <t>9780471912408</t>
        </is>
      </c>
      <c r="BC1204" t="inlineStr">
        <is>
          <t>32285002808557</t>
        </is>
      </c>
      <c r="BD1204" t="inlineStr">
        <is>
          <t>893900780</t>
        </is>
      </c>
    </row>
    <row r="1205">
      <c r="A1205" t="inlineStr">
        <is>
          <t>No</t>
        </is>
      </c>
      <c r="B1205" t="inlineStr">
        <is>
          <t>QD543 .B22 1983</t>
        </is>
      </c>
      <c r="C1205" t="inlineStr">
        <is>
          <t>0                      QD 0543000B  22          1983</t>
        </is>
      </c>
      <c r="D1205" t="inlineStr">
        <is>
          <t>CRC handbook of solubility parameters and other cohesion parameters / author, Allan F.M. Barton.</t>
        </is>
      </c>
      <c r="F1205" t="inlineStr">
        <is>
          <t>No</t>
        </is>
      </c>
      <c r="G1205" t="inlineStr">
        <is>
          <t>1</t>
        </is>
      </c>
      <c r="H1205" t="inlineStr">
        <is>
          <t>No</t>
        </is>
      </c>
      <c r="I1205" t="inlineStr">
        <is>
          <t>No</t>
        </is>
      </c>
      <c r="J1205" t="inlineStr">
        <is>
          <t>0</t>
        </is>
      </c>
      <c r="K1205" t="inlineStr">
        <is>
          <t>Barton, Allan F. M.</t>
        </is>
      </c>
      <c r="L1205" t="inlineStr">
        <is>
          <t>Boca Raton, Fla. : CRC Press, c1983.</t>
        </is>
      </c>
      <c r="M1205" t="inlineStr">
        <is>
          <t>1983</t>
        </is>
      </c>
      <c r="O1205" t="inlineStr">
        <is>
          <t>eng</t>
        </is>
      </c>
      <c r="P1205" t="inlineStr">
        <is>
          <t>flu</t>
        </is>
      </c>
      <c r="R1205" t="inlineStr">
        <is>
          <t xml:space="preserve">QD </t>
        </is>
      </c>
      <c r="S1205" t="n">
        <v>5</v>
      </c>
      <c r="T1205" t="n">
        <v>5</v>
      </c>
      <c r="U1205" t="inlineStr">
        <is>
          <t>2006-11-08</t>
        </is>
      </c>
      <c r="V1205" t="inlineStr">
        <is>
          <t>2006-11-08</t>
        </is>
      </c>
      <c r="W1205" t="inlineStr">
        <is>
          <t>1993-02-11</t>
        </is>
      </c>
      <c r="X1205" t="inlineStr">
        <is>
          <t>1993-02-11</t>
        </is>
      </c>
      <c r="Y1205" t="n">
        <v>411</v>
      </c>
      <c r="Z1205" t="n">
        <v>331</v>
      </c>
      <c r="AA1205" t="n">
        <v>425</v>
      </c>
      <c r="AB1205" t="n">
        <v>2</v>
      </c>
      <c r="AC1205" t="n">
        <v>2</v>
      </c>
      <c r="AD1205" t="n">
        <v>6</v>
      </c>
      <c r="AE1205" t="n">
        <v>10</v>
      </c>
      <c r="AF1205" t="n">
        <v>2</v>
      </c>
      <c r="AG1205" t="n">
        <v>2</v>
      </c>
      <c r="AH1205" t="n">
        <v>1</v>
      </c>
      <c r="AI1205" t="n">
        <v>4</v>
      </c>
      <c r="AJ1205" t="n">
        <v>2</v>
      </c>
      <c r="AK1205" t="n">
        <v>5</v>
      </c>
      <c r="AL1205" t="n">
        <v>1</v>
      </c>
      <c r="AM1205" t="n">
        <v>1</v>
      </c>
      <c r="AN1205" t="n">
        <v>0</v>
      </c>
      <c r="AO1205" t="n">
        <v>0</v>
      </c>
      <c r="AP1205" t="inlineStr">
        <is>
          <t>No</t>
        </is>
      </c>
      <c r="AQ1205" t="inlineStr">
        <is>
          <t>Yes</t>
        </is>
      </c>
      <c r="AR1205">
        <f>HYPERLINK("http://catalog.hathitrust.org/Record/000782490","HathiTrust Record")</f>
        <v/>
      </c>
      <c r="AS1205">
        <f>HYPERLINK("https://creighton-primo.hosted.exlibrisgroup.com/primo-explore/search?tab=default_tab&amp;search_scope=EVERYTHING&amp;vid=01CRU&amp;lang=en_US&amp;offset=0&amp;query=any,contains,991000017539702656","Catalog Record")</f>
        <v/>
      </c>
      <c r="AT1205">
        <f>HYPERLINK("http://www.worldcat.org/oclc/8553409","WorldCat Record")</f>
        <v/>
      </c>
      <c r="AU1205" t="inlineStr">
        <is>
          <t>25335470:eng</t>
        </is>
      </c>
      <c r="AV1205" t="inlineStr">
        <is>
          <t>8553409</t>
        </is>
      </c>
      <c r="AW1205" t="inlineStr">
        <is>
          <t>991000017539702656</t>
        </is>
      </c>
      <c r="AX1205" t="inlineStr">
        <is>
          <t>991000017539702656</t>
        </is>
      </c>
      <c r="AY1205" t="inlineStr">
        <is>
          <t>2259046190002656</t>
        </is>
      </c>
      <c r="AZ1205" t="inlineStr">
        <is>
          <t>BOOK</t>
        </is>
      </c>
      <c r="BB1205" t="inlineStr">
        <is>
          <t>9780849332951</t>
        </is>
      </c>
      <c r="BC1205" t="inlineStr">
        <is>
          <t>32285001517563</t>
        </is>
      </c>
      <c r="BD1205" t="inlineStr">
        <is>
          <t>893314598</t>
        </is>
      </c>
    </row>
    <row r="1206">
      <c r="A1206" t="inlineStr">
        <is>
          <t>No</t>
        </is>
      </c>
      <c r="B1206" t="inlineStr">
        <is>
          <t>QD543 .B945 2003</t>
        </is>
      </c>
      <c r="C1206" t="inlineStr">
        <is>
          <t>0                      QD 0543000B  945         2003</t>
        </is>
      </c>
      <c r="D1206" t="inlineStr">
        <is>
          <t>The role of the solvent in chemical reactions / E. Buncel, R.A. Stairs, and H. Wilson.</t>
        </is>
      </c>
      <c r="F1206" t="inlineStr">
        <is>
          <t>No</t>
        </is>
      </c>
      <c r="G1206" t="inlineStr">
        <is>
          <t>1</t>
        </is>
      </c>
      <c r="H1206" t="inlineStr">
        <is>
          <t>No</t>
        </is>
      </c>
      <c r="I1206" t="inlineStr">
        <is>
          <t>No</t>
        </is>
      </c>
      <c r="J1206" t="inlineStr">
        <is>
          <t>0</t>
        </is>
      </c>
      <c r="K1206" t="inlineStr">
        <is>
          <t>Buncel, E.</t>
        </is>
      </c>
      <c r="L1206" t="inlineStr">
        <is>
          <t>Oxford ; New York : Oxford University Press, 2003.</t>
        </is>
      </c>
      <c r="M1206" t="inlineStr">
        <is>
          <t>2003</t>
        </is>
      </c>
      <c r="O1206" t="inlineStr">
        <is>
          <t>eng</t>
        </is>
      </c>
      <c r="P1206" t="inlineStr">
        <is>
          <t>enk</t>
        </is>
      </c>
      <c r="Q1206" t="inlineStr">
        <is>
          <t>Oxford chemistry masters ; 6</t>
        </is>
      </c>
      <c r="R1206" t="inlineStr">
        <is>
          <t xml:space="preserve">QD </t>
        </is>
      </c>
      <c r="S1206" t="n">
        <v>1</v>
      </c>
      <c r="T1206" t="n">
        <v>1</v>
      </c>
      <c r="U1206" t="inlineStr">
        <is>
          <t>2005-03-14</t>
        </is>
      </c>
      <c r="V1206" t="inlineStr">
        <is>
          <t>2005-03-14</t>
        </is>
      </c>
      <c r="W1206" t="inlineStr">
        <is>
          <t>2005-03-14</t>
        </is>
      </c>
      <c r="X1206" t="inlineStr">
        <is>
          <t>2005-03-14</t>
        </is>
      </c>
      <c r="Y1206" t="n">
        <v>360</v>
      </c>
      <c r="Z1206" t="n">
        <v>264</v>
      </c>
      <c r="AA1206" t="n">
        <v>270</v>
      </c>
      <c r="AB1206" t="n">
        <v>5</v>
      </c>
      <c r="AC1206" t="n">
        <v>5</v>
      </c>
      <c r="AD1206" t="n">
        <v>18</v>
      </c>
      <c r="AE1206" t="n">
        <v>18</v>
      </c>
      <c r="AF1206" t="n">
        <v>6</v>
      </c>
      <c r="AG1206" t="n">
        <v>6</v>
      </c>
      <c r="AH1206" t="n">
        <v>2</v>
      </c>
      <c r="AI1206" t="n">
        <v>2</v>
      </c>
      <c r="AJ1206" t="n">
        <v>11</v>
      </c>
      <c r="AK1206" t="n">
        <v>11</v>
      </c>
      <c r="AL1206" t="n">
        <v>4</v>
      </c>
      <c r="AM1206" t="n">
        <v>4</v>
      </c>
      <c r="AN1206" t="n">
        <v>0</v>
      </c>
      <c r="AO1206" t="n">
        <v>0</v>
      </c>
      <c r="AP1206" t="inlineStr">
        <is>
          <t>No</t>
        </is>
      </c>
      <c r="AQ1206" t="inlineStr">
        <is>
          <t>No</t>
        </is>
      </c>
      <c r="AS1206">
        <f>HYPERLINK("https://creighton-primo.hosted.exlibrisgroup.com/primo-explore/search?tab=default_tab&amp;search_scope=EVERYTHING&amp;vid=01CRU&amp;lang=en_US&amp;offset=0&amp;query=any,contains,991004469449702656","Catalog Record")</f>
        <v/>
      </c>
      <c r="AT1206">
        <f>HYPERLINK("http://www.worldcat.org/oclc/50773243","WorldCat Record")</f>
        <v/>
      </c>
      <c r="AU1206" t="inlineStr">
        <is>
          <t>663967:eng</t>
        </is>
      </c>
      <c r="AV1206" t="inlineStr">
        <is>
          <t>50773243</t>
        </is>
      </c>
      <c r="AW1206" t="inlineStr">
        <is>
          <t>991004469449702656</t>
        </is>
      </c>
      <c r="AX1206" t="inlineStr">
        <is>
          <t>991004469449702656</t>
        </is>
      </c>
      <c r="AY1206" t="inlineStr">
        <is>
          <t>2263084940002656</t>
        </is>
      </c>
      <c r="AZ1206" t="inlineStr">
        <is>
          <t>BOOK</t>
        </is>
      </c>
      <c r="BB1206" t="inlineStr">
        <is>
          <t>9780198511007</t>
        </is>
      </c>
      <c r="BC1206" t="inlineStr">
        <is>
          <t>32285005040893</t>
        </is>
      </c>
      <c r="BD1206" t="inlineStr">
        <is>
          <t>893876146</t>
        </is>
      </c>
    </row>
    <row r="1207">
      <c r="A1207" t="inlineStr">
        <is>
          <t>No</t>
        </is>
      </c>
      <c r="B1207" t="inlineStr">
        <is>
          <t>QD543 .H5 1964</t>
        </is>
      </c>
      <c r="C1207" t="inlineStr">
        <is>
          <t>0                      QD 0543000H  5           1964</t>
        </is>
      </c>
      <c r="D1207" t="inlineStr">
        <is>
          <t>The solubility of nonelectrolytes.</t>
        </is>
      </c>
      <c r="F1207" t="inlineStr">
        <is>
          <t>No</t>
        </is>
      </c>
      <c r="G1207" t="inlineStr">
        <is>
          <t>1</t>
        </is>
      </c>
      <c r="H1207" t="inlineStr">
        <is>
          <t>No</t>
        </is>
      </c>
      <c r="I1207" t="inlineStr">
        <is>
          <t>Yes</t>
        </is>
      </c>
      <c r="J1207" t="inlineStr">
        <is>
          <t>0</t>
        </is>
      </c>
      <c r="K1207" t="inlineStr">
        <is>
          <t>Hildebrand, Joel Henry, 1881-1983.</t>
        </is>
      </c>
      <c r="L1207" t="inlineStr">
        <is>
          <t>New York, Dover Publications [1964]</t>
        </is>
      </c>
      <c r="M1207" t="inlineStr">
        <is>
          <t>1964</t>
        </is>
      </c>
      <c r="N1207" t="inlineStr">
        <is>
          <t>3d ed.</t>
        </is>
      </c>
      <c r="O1207" t="inlineStr">
        <is>
          <t>eng</t>
        </is>
      </c>
      <c r="P1207" t="inlineStr">
        <is>
          <t xml:space="preserve">xx </t>
        </is>
      </c>
      <c r="R1207" t="inlineStr">
        <is>
          <t xml:space="preserve">QD </t>
        </is>
      </c>
      <c r="S1207" t="n">
        <v>6</v>
      </c>
      <c r="T1207" t="n">
        <v>6</v>
      </c>
      <c r="U1207" t="inlineStr">
        <is>
          <t>1996-10-04</t>
        </is>
      </c>
      <c r="V1207" t="inlineStr">
        <is>
          <t>1996-10-04</t>
        </is>
      </c>
      <c r="W1207" t="inlineStr">
        <is>
          <t>1996-05-30</t>
        </is>
      </c>
      <c r="X1207" t="inlineStr">
        <is>
          <t>1996-05-30</t>
        </is>
      </c>
      <c r="Y1207" t="n">
        <v>371</v>
      </c>
      <c r="Z1207" t="n">
        <v>314</v>
      </c>
      <c r="AA1207" t="n">
        <v>648</v>
      </c>
      <c r="AB1207" t="n">
        <v>4</v>
      </c>
      <c r="AC1207" t="n">
        <v>6</v>
      </c>
      <c r="AD1207" t="n">
        <v>9</v>
      </c>
      <c r="AE1207" t="n">
        <v>34</v>
      </c>
      <c r="AF1207" t="n">
        <v>4</v>
      </c>
      <c r="AG1207" t="n">
        <v>11</v>
      </c>
      <c r="AH1207" t="n">
        <v>0</v>
      </c>
      <c r="AI1207" t="n">
        <v>6</v>
      </c>
      <c r="AJ1207" t="n">
        <v>5</v>
      </c>
      <c r="AK1207" t="n">
        <v>21</v>
      </c>
      <c r="AL1207" t="n">
        <v>3</v>
      </c>
      <c r="AM1207" t="n">
        <v>5</v>
      </c>
      <c r="AN1207" t="n">
        <v>0</v>
      </c>
      <c r="AO1207" t="n">
        <v>0</v>
      </c>
      <c r="AP1207" t="inlineStr">
        <is>
          <t>No</t>
        </is>
      </c>
      <c r="AQ1207" t="inlineStr">
        <is>
          <t>Yes</t>
        </is>
      </c>
      <c r="AR1207">
        <f>HYPERLINK("http://catalog.hathitrust.org/Record/004412762","HathiTrust Record")</f>
        <v/>
      </c>
      <c r="AS1207">
        <f>HYPERLINK("https://creighton-primo.hosted.exlibrisgroup.com/primo-explore/search?tab=default_tab&amp;search_scope=EVERYTHING&amp;vid=01CRU&amp;lang=en_US&amp;offset=0&amp;query=any,contains,991002960119702656","Catalog Record")</f>
        <v/>
      </c>
      <c r="AT1207">
        <f>HYPERLINK("http://www.worldcat.org/oclc/543666","WorldCat Record")</f>
        <v/>
      </c>
      <c r="AU1207" t="inlineStr">
        <is>
          <t>1574089:eng</t>
        </is>
      </c>
      <c r="AV1207" t="inlineStr">
        <is>
          <t>543666</t>
        </is>
      </c>
      <c r="AW1207" t="inlineStr">
        <is>
          <t>991002960119702656</t>
        </is>
      </c>
      <c r="AX1207" t="inlineStr">
        <is>
          <t>991002960119702656</t>
        </is>
      </c>
      <c r="AY1207" t="inlineStr">
        <is>
          <t>2265376030002656</t>
        </is>
      </c>
      <c r="AZ1207" t="inlineStr">
        <is>
          <t>BOOK</t>
        </is>
      </c>
      <c r="BC1207" t="inlineStr">
        <is>
          <t>32285002185279</t>
        </is>
      </c>
      <c r="BD1207" t="inlineStr">
        <is>
          <t>893692215</t>
        </is>
      </c>
    </row>
    <row r="1208">
      <c r="A1208" t="inlineStr">
        <is>
          <t>No</t>
        </is>
      </c>
      <c r="B1208" t="inlineStr">
        <is>
          <t>QD544 .A33 2004</t>
        </is>
      </c>
      <c r="C1208" t="inlineStr">
        <is>
          <t>0                      QD 0544000A  33          2004</t>
        </is>
      </c>
      <c r="D1208" t="inlineStr">
        <is>
          <t>Chemistry in alternative reaction media / Dave J. Adams, Paul J. Dyson, and Stewart J. Tavener.</t>
        </is>
      </c>
      <c r="F1208" t="inlineStr">
        <is>
          <t>No</t>
        </is>
      </c>
      <c r="G1208" t="inlineStr">
        <is>
          <t>1</t>
        </is>
      </c>
      <c r="H1208" t="inlineStr">
        <is>
          <t>No</t>
        </is>
      </c>
      <c r="I1208" t="inlineStr">
        <is>
          <t>No</t>
        </is>
      </c>
      <c r="J1208" t="inlineStr">
        <is>
          <t>0</t>
        </is>
      </c>
      <c r="K1208" t="inlineStr">
        <is>
          <t>Adams, Dave J.</t>
        </is>
      </c>
      <c r="L1208" t="inlineStr">
        <is>
          <t>Chichester, West Sussex, England ; Hoboken, NJ : J. Wiley, c2004.</t>
        </is>
      </c>
      <c r="M1208" t="inlineStr">
        <is>
          <t>2004</t>
        </is>
      </c>
      <c r="O1208" t="inlineStr">
        <is>
          <t>eng</t>
        </is>
      </c>
      <c r="P1208" t="inlineStr">
        <is>
          <t>enk</t>
        </is>
      </c>
      <c r="R1208" t="inlineStr">
        <is>
          <t xml:space="preserve">QD </t>
        </is>
      </c>
      <c r="S1208" t="n">
        <v>1</v>
      </c>
      <c r="T1208" t="n">
        <v>1</v>
      </c>
      <c r="U1208" t="inlineStr">
        <is>
          <t>2004-03-24</t>
        </is>
      </c>
      <c r="V1208" t="inlineStr">
        <is>
          <t>2004-03-24</t>
        </is>
      </c>
      <c r="W1208" t="inlineStr">
        <is>
          <t>2004-03-24</t>
        </is>
      </c>
      <c r="X1208" t="inlineStr">
        <is>
          <t>2004-03-24</t>
        </is>
      </c>
      <c r="Y1208" t="n">
        <v>266</v>
      </c>
      <c r="Z1208" t="n">
        <v>178</v>
      </c>
      <c r="AA1208" t="n">
        <v>241</v>
      </c>
      <c r="AB1208" t="n">
        <v>3</v>
      </c>
      <c r="AC1208" t="n">
        <v>3</v>
      </c>
      <c r="AD1208" t="n">
        <v>13</v>
      </c>
      <c r="AE1208" t="n">
        <v>13</v>
      </c>
      <c r="AF1208" t="n">
        <v>5</v>
      </c>
      <c r="AG1208" t="n">
        <v>5</v>
      </c>
      <c r="AH1208" t="n">
        <v>2</v>
      </c>
      <c r="AI1208" t="n">
        <v>2</v>
      </c>
      <c r="AJ1208" t="n">
        <v>7</v>
      </c>
      <c r="AK1208" t="n">
        <v>7</v>
      </c>
      <c r="AL1208" t="n">
        <v>2</v>
      </c>
      <c r="AM1208" t="n">
        <v>2</v>
      </c>
      <c r="AN1208" t="n">
        <v>0</v>
      </c>
      <c r="AO1208" t="n">
        <v>0</v>
      </c>
      <c r="AP1208" t="inlineStr">
        <is>
          <t>No</t>
        </is>
      </c>
      <c r="AQ1208" t="inlineStr">
        <is>
          <t>Yes</t>
        </is>
      </c>
      <c r="AR1208">
        <f>HYPERLINK("http://catalog.hathitrust.org/Record/004356612","HathiTrust Record")</f>
        <v/>
      </c>
      <c r="AS1208">
        <f>HYPERLINK("https://creighton-primo.hosted.exlibrisgroup.com/primo-explore/search?tab=default_tab&amp;search_scope=EVERYTHING&amp;vid=01CRU&amp;lang=en_US&amp;offset=0&amp;query=any,contains,991004243239702656","Catalog Record")</f>
        <v/>
      </c>
      <c r="AT1208">
        <f>HYPERLINK("http://www.worldcat.org/oclc/52154069","WorldCat Record")</f>
        <v/>
      </c>
      <c r="AU1208" t="inlineStr">
        <is>
          <t>9044880:eng</t>
        </is>
      </c>
      <c r="AV1208" t="inlineStr">
        <is>
          <t>52154069</t>
        </is>
      </c>
      <c r="AW1208" t="inlineStr">
        <is>
          <t>991004243239702656</t>
        </is>
      </c>
      <c r="AX1208" t="inlineStr">
        <is>
          <t>991004243239702656</t>
        </is>
      </c>
      <c r="AY1208" t="inlineStr">
        <is>
          <t>2263140970002656</t>
        </is>
      </c>
      <c r="AZ1208" t="inlineStr">
        <is>
          <t>BOOK</t>
        </is>
      </c>
      <c r="BB1208" t="inlineStr">
        <is>
          <t>9780471498483</t>
        </is>
      </c>
      <c r="BC1208" t="inlineStr">
        <is>
          <t>32285004896899</t>
        </is>
      </c>
      <c r="BD1208" t="inlineStr">
        <is>
          <t>893718678</t>
        </is>
      </c>
    </row>
    <row r="1209">
      <c r="A1209" t="inlineStr">
        <is>
          <t>No</t>
        </is>
      </c>
      <c r="B1209" t="inlineStr">
        <is>
          <t>QD544.5 .A26 1984</t>
        </is>
      </c>
      <c r="C1209" t="inlineStr">
        <is>
          <t>0                      QD 0544500A  26          1984</t>
        </is>
      </c>
      <c r="D1209" t="inlineStr">
        <is>
          <t>Thermodynamic properties of nonelectrolyte solutions / William E. Acree, Jr.</t>
        </is>
      </c>
      <c r="F1209" t="inlineStr">
        <is>
          <t>No</t>
        </is>
      </c>
      <c r="G1209" t="inlineStr">
        <is>
          <t>1</t>
        </is>
      </c>
      <c r="H1209" t="inlineStr">
        <is>
          <t>No</t>
        </is>
      </c>
      <c r="I1209" t="inlineStr">
        <is>
          <t>No</t>
        </is>
      </c>
      <c r="J1209" t="inlineStr">
        <is>
          <t>0</t>
        </is>
      </c>
      <c r="K1209" t="inlineStr">
        <is>
          <t>Acree, William E. (William Eugene)</t>
        </is>
      </c>
      <c r="L1209" t="inlineStr">
        <is>
          <t>Orlando : Academic Press, 1984.</t>
        </is>
      </c>
      <c r="M1209" t="inlineStr">
        <is>
          <t>1984</t>
        </is>
      </c>
      <c r="O1209" t="inlineStr">
        <is>
          <t>eng</t>
        </is>
      </c>
      <c r="P1209" t="inlineStr">
        <is>
          <t>flu</t>
        </is>
      </c>
      <c r="R1209" t="inlineStr">
        <is>
          <t xml:space="preserve">QD </t>
        </is>
      </c>
      <c r="S1209" t="n">
        <v>2</v>
      </c>
      <c r="T1209" t="n">
        <v>2</v>
      </c>
      <c r="U1209" t="inlineStr">
        <is>
          <t>1995-12-21</t>
        </is>
      </c>
      <c r="V1209" t="inlineStr">
        <is>
          <t>1995-12-21</t>
        </is>
      </c>
      <c r="W1209" t="inlineStr">
        <is>
          <t>1993-02-11</t>
        </is>
      </c>
      <c r="X1209" t="inlineStr">
        <is>
          <t>1993-02-11</t>
        </is>
      </c>
      <c r="Y1209" t="n">
        <v>343</v>
      </c>
      <c r="Z1209" t="n">
        <v>267</v>
      </c>
      <c r="AA1209" t="n">
        <v>312</v>
      </c>
      <c r="AB1209" t="n">
        <v>2</v>
      </c>
      <c r="AC1209" t="n">
        <v>3</v>
      </c>
      <c r="AD1209" t="n">
        <v>13</v>
      </c>
      <c r="AE1209" t="n">
        <v>16</v>
      </c>
      <c r="AF1209" t="n">
        <v>4</v>
      </c>
      <c r="AG1209" t="n">
        <v>6</v>
      </c>
      <c r="AH1209" t="n">
        <v>5</v>
      </c>
      <c r="AI1209" t="n">
        <v>6</v>
      </c>
      <c r="AJ1209" t="n">
        <v>7</v>
      </c>
      <c r="AK1209" t="n">
        <v>7</v>
      </c>
      <c r="AL1209" t="n">
        <v>1</v>
      </c>
      <c r="AM1209" t="n">
        <v>2</v>
      </c>
      <c r="AN1209" t="n">
        <v>0</v>
      </c>
      <c r="AO1209" t="n">
        <v>0</v>
      </c>
      <c r="AP1209" t="inlineStr">
        <is>
          <t>No</t>
        </is>
      </c>
      <c r="AQ1209" t="inlineStr">
        <is>
          <t>Yes</t>
        </is>
      </c>
      <c r="AR1209">
        <f>HYPERLINK("http://catalog.hathitrust.org/Record/000241729","HathiTrust Record")</f>
        <v/>
      </c>
      <c r="AS1209">
        <f>HYPERLINK("https://creighton-primo.hosted.exlibrisgroup.com/primo-explore/search?tab=default_tab&amp;search_scope=EVERYTHING&amp;vid=01CRU&amp;lang=en_US&amp;offset=0&amp;query=any,contains,991000227279702656","Catalog Record")</f>
        <v/>
      </c>
      <c r="AT1209">
        <f>HYPERLINK("http://www.worldcat.org/oclc/9621636","WorldCat Record")</f>
        <v/>
      </c>
      <c r="AU1209" t="inlineStr">
        <is>
          <t>43170755:eng</t>
        </is>
      </c>
      <c r="AV1209" t="inlineStr">
        <is>
          <t>9621636</t>
        </is>
      </c>
      <c r="AW1209" t="inlineStr">
        <is>
          <t>991000227279702656</t>
        </is>
      </c>
      <c r="AX1209" t="inlineStr">
        <is>
          <t>991000227279702656</t>
        </is>
      </c>
      <c r="AY1209" t="inlineStr">
        <is>
          <t>2268917270002656</t>
        </is>
      </c>
      <c r="AZ1209" t="inlineStr">
        <is>
          <t>BOOK</t>
        </is>
      </c>
      <c r="BB1209" t="inlineStr">
        <is>
          <t>9780120430208</t>
        </is>
      </c>
      <c r="BC1209" t="inlineStr">
        <is>
          <t>32285001517589</t>
        </is>
      </c>
      <c r="BD1209" t="inlineStr">
        <is>
          <t>893865214</t>
        </is>
      </c>
    </row>
    <row r="1210">
      <c r="A1210" t="inlineStr">
        <is>
          <t>No</t>
        </is>
      </c>
      <c r="B1210" t="inlineStr">
        <is>
          <t>QD547 .K5</t>
        </is>
      </c>
      <c r="C1210" t="inlineStr">
        <is>
          <t>0                      QD 0547000K  5</t>
        </is>
      </c>
      <c r="D1210" t="inlineStr">
        <is>
          <t>Adsorption from solutions of non-electrolytes [by] J.J. Kipling.</t>
        </is>
      </c>
      <c r="F1210" t="inlineStr">
        <is>
          <t>No</t>
        </is>
      </c>
      <c r="G1210" t="inlineStr">
        <is>
          <t>1</t>
        </is>
      </c>
      <c r="H1210" t="inlineStr">
        <is>
          <t>No</t>
        </is>
      </c>
      <c r="I1210" t="inlineStr">
        <is>
          <t>No</t>
        </is>
      </c>
      <c r="J1210" t="inlineStr">
        <is>
          <t>0</t>
        </is>
      </c>
      <c r="K1210" t="inlineStr">
        <is>
          <t>Kipling, J. J. (John Jervis)</t>
        </is>
      </c>
      <c r="L1210" t="inlineStr">
        <is>
          <t>London, New York, Academic Press, 1965.</t>
        </is>
      </c>
      <c r="M1210" t="inlineStr">
        <is>
          <t>1965</t>
        </is>
      </c>
      <c r="N1210" t="inlineStr">
        <is>
          <t>[U.S. ed.].</t>
        </is>
      </c>
      <c r="O1210" t="inlineStr">
        <is>
          <t>eng</t>
        </is>
      </c>
      <c r="P1210" t="inlineStr">
        <is>
          <t>enk</t>
        </is>
      </c>
      <c r="R1210" t="inlineStr">
        <is>
          <t xml:space="preserve">QD </t>
        </is>
      </c>
      <c r="S1210" t="n">
        <v>3</v>
      </c>
      <c r="T1210" t="n">
        <v>3</v>
      </c>
      <c r="U1210" t="inlineStr">
        <is>
          <t>2001-03-28</t>
        </is>
      </c>
      <c r="V1210" t="inlineStr">
        <is>
          <t>2001-03-28</t>
        </is>
      </c>
      <c r="W1210" t="inlineStr">
        <is>
          <t>1997-06-17</t>
        </is>
      </c>
      <c r="X1210" t="inlineStr">
        <is>
          <t>1997-06-17</t>
        </is>
      </c>
      <c r="Y1210" t="n">
        <v>339</v>
      </c>
      <c r="Z1210" t="n">
        <v>254</v>
      </c>
      <c r="AA1210" t="n">
        <v>294</v>
      </c>
      <c r="AB1210" t="n">
        <v>2</v>
      </c>
      <c r="AC1210" t="n">
        <v>2</v>
      </c>
      <c r="AD1210" t="n">
        <v>10</v>
      </c>
      <c r="AE1210" t="n">
        <v>12</v>
      </c>
      <c r="AF1210" t="n">
        <v>3</v>
      </c>
      <c r="AG1210" t="n">
        <v>5</v>
      </c>
      <c r="AH1210" t="n">
        <v>4</v>
      </c>
      <c r="AI1210" t="n">
        <v>5</v>
      </c>
      <c r="AJ1210" t="n">
        <v>5</v>
      </c>
      <c r="AK1210" t="n">
        <v>5</v>
      </c>
      <c r="AL1210" t="n">
        <v>1</v>
      </c>
      <c r="AM1210" t="n">
        <v>1</v>
      </c>
      <c r="AN1210" t="n">
        <v>0</v>
      </c>
      <c r="AO1210" t="n">
        <v>0</v>
      </c>
      <c r="AP1210" t="inlineStr">
        <is>
          <t>No</t>
        </is>
      </c>
      <c r="AQ1210" t="inlineStr">
        <is>
          <t>Yes</t>
        </is>
      </c>
      <c r="AR1210">
        <f>HYPERLINK("http://catalog.hathitrust.org/Record/001114290","HathiTrust Record")</f>
        <v/>
      </c>
      <c r="AS1210">
        <f>HYPERLINK("https://creighton-primo.hosted.exlibrisgroup.com/primo-explore/search?tab=default_tab&amp;search_scope=EVERYTHING&amp;vid=01CRU&amp;lang=en_US&amp;offset=0&amp;query=any,contains,991002960089702656","Catalog Record")</f>
        <v/>
      </c>
      <c r="AT1210">
        <f>HYPERLINK("http://www.worldcat.org/oclc/543664","WorldCat Record")</f>
        <v/>
      </c>
      <c r="AU1210" t="inlineStr">
        <is>
          <t>1574087:eng</t>
        </is>
      </c>
      <c r="AV1210" t="inlineStr">
        <is>
          <t>543664</t>
        </is>
      </c>
      <c r="AW1210" t="inlineStr">
        <is>
          <t>991002960089702656</t>
        </is>
      </c>
      <c r="AX1210" t="inlineStr">
        <is>
          <t>991002960089702656</t>
        </is>
      </c>
      <c r="AY1210" t="inlineStr">
        <is>
          <t>2265376460002656</t>
        </is>
      </c>
      <c r="AZ1210" t="inlineStr">
        <is>
          <t>BOOK</t>
        </is>
      </c>
      <c r="BC1210" t="inlineStr">
        <is>
          <t>32285002808672</t>
        </is>
      </c>
      <c r="BD1210" t="inlineStr">
        <is>
          <t>893233661</t>
        </is>
      </c>
    </row>
    <row r="1211">
      <c r="A1211" t="inlineStr">
        <is>
          <t>No</t>
        </is>
      </c>
      <c r="B1211" t="inlineStr">
        <is>
          <t>QD553 .B63 1998, v...</t>
        </is>
      </c>
      <c r="C1211" t="inlineStr">
        <is>
          <t>0                      QD 0553000B  63          1998                                        v...</t>
        </is>
      </c>
      <c r="D1211" t="inlineStr">
        <is>
          <t>Modern electrochemistry / John O'M. Bockris and Amulya K.N. Reddy.</t>
        </is>
      </c>
      <c r="E1211" t="inlineStr">
        <is>
          <t>V. 1</t>
        </is>
      </c>
      <c r="F1211" t="inlineStr">
        <is>
          <t>No</t>
        </is>
      </c>
      <c r="G1211" t="inlineStr">
        <is>
          <t>1</t>
        </is>
      </c>
      <c r="H1211" t="inlineStr">
        <is>
          <t>No</t>
        </is>
      </c>
      <c r="I1211" t="inlineStr">
        <is>
          <t>No</t>
        </is>
      </c>
      <c r="J1211" t="inlineStr">
        <is>
          <t>0</t>
        </is>
      </c>
      <c r="K1211" t="inlineStr">
        <is>
          <t>Bockris, J. O'M. (John O'M.), 1923-2013.</t>
        </is>
      </c>
      <c r="L1211" t="inlineStr">
        <is>
          <t>New York : Plenum Press, c1998-</t>
        </is>
      </c>
      <c r="M1211" t="inlineStr">
        <is>
          <t>1998</t>
        </is>
      </c>
      <c r="N1211" t="inlineStr">
        <is>
          <t>2nd ed.</t>
        </is>
      </c>
      <c r="O1211" t="inlineStr">
        <is>
          <t>eng</t>
        </is>
      </c>
      <c r="P1211" t="inlineStr">
        <is>
          <t>nyu</t>
        </is>
      </c>
      <c r="R1211" t="inlineStr">
        <is>
          <t xml:space="preserve">QD </t>
        </is>
      </c>
      <c r="S1211" t="n">
        <v>1</v>
      </c>
      <c r="T1211" t="n">
        <v>1</v>
      </c>
      <c r="U1211" t="inlineStr">
        <is>
          <t>2006-06-28</t>
        </is>
      </c>
      <c r="V1211" t="inlineStr">
        <is>
          <t>2006-06-28</t>
        </is>
      </c>
      <c r="W1211" t="inlineStr">
        <is>
          <t>2000-04-04</t>
        </is>
      </c>
      <c r="X1211" t="inlineStr">
        <is>
          <t>2000-04-04</t>
        </is>
      </c>
      <c r="Y1211" t="n">
        <v>369</v>
      </c>
      <c r="Z1211" t="n">
        <v>262</v>
      </c>
      <c r="AA1211" t="n">
        <v>295</v>
      </c>
      <c r="AB1211" t="n">
        <v>2</v>
      </c>
      <c r="AC1211" t="n">
        <v>4</v>
      </c>
      <c r="AD1211" t="n">
        <v>12</v>
      </c>
      <c r="AE1211" t="n">
        <v>16</v>
      </c>
      <c r="AF1211" t="n">
        <v>2</v>
      </c>
      <c r="AG1211" t="n">
        <v>3</v>
      </c>
      <c r="AH1211" t="n">
        <v>4</v>
      </c>
      <c r="AI1211" t="n">
        <v>4</v>
      </c>
      <c r="AJ1211" t="n">
        <v>8</v>
      </c>
      <c r="AK1211" t="n">
        <v>9</v>
      </c>
      <c r="AL1211" t="n">
        <v>1</v>
      </c>
      <c r="AM1211" t="n">
        <v>3</v>
      </c>
      <c r="AN1211" t="n">
        <v>0</v>
      </c>
      <c r="AO1211" t="n">
        <v>0</v>
      </c>
      <c r="AP1211" t="inlineStr">
        <is>
          <t>No</t>
        </is>
      </c>
      <c r="AQ1211" t="inlineStr">
        <is>
          <t>Yes</t>
        </is>
      </c>
      <c r="AR1211">
        <f>HYPERLINK("http://catalog.hathitrust.org/Record/003979960","HathiTrust Record")</f>
        <v/>
      </c>
      <c r="AS1211">
        <f>HYPERLINK("https://creighton-primo.hosted.exlibrisgroup.com/primo-explore/search?tab=default_tab&amp;search_scope=EVERYTHING&amp;vid=01CRU&amp;lang=en_US&amp;offset=0&amp;query=any,contains,991002830909702656","Catalog Record")</f>
        <v/>
      </c>
      <c r="AT1211">
        <f>HYPERLINK("http://www.worldcat.org/oclc/37277513","WorldCat Record")</f>
        <v/>
      </c>
      <c r="AU1211" t="inlineStr">
        <is>
          <t>9489945432:eng</t>
        </is>
      </c>
      <c r="AV1211" t="inlineStr">
        <is>
          <t>37277513</t>
        </is>
      </c>
      <c r="AW1211" t="inlineStr">
        <is>
          <t>991002830909702656</t>
        </is>
      </c>
      <c r="AX1211" t="inlineStr">
        <is>
          <t>991002830909702656</t>
        </is>
      </c>
      <c r="AY1211" t="inlineStr">
        <is>
          <t>2271327910002656</t>
        </is>
      </c>
      <c r="AZ1211" t="inlineStr">
        <is>
          <t>BOOK</t>
        </is>
      </c>
      <c r="BB1211" t="inlineStr">
        <is>
          <t>9780306455544</t>
        </is>
      </c>
      <c r="BC1211" t="inlineStr">
        <is>
          <t>32285003675393</t>
        </is>
      </c>
      <c r="BD1211" t="inlineStr">
        <is>
          <t>893610359</t>
        </is>
      </c>
    </row>
    <row r="1212">
      <c r="A1212" t="inlineStr">
        <is>
          <t>No</t>
        </is>
      </c>
      <c r="B1212" t="inlineStr">
        <is>
          <t>QD553 .C92 1994</t>
        </is>
      </c>
      <c r="C1212" t="inlineStr">
        <is>
          <t>0                      QD 0553000C  92          1994</t>
        </is>
      </c>
      <c r="D1212" t="inlineStr">
        <is>
          <t>Principles and applications of electrochemistry / D.R. Crow.</t>
        </is>
      </c>
      <c r="F1212" t="inlineStr">
        <is>
          <t>No</t>
        </is>
      </c>
      <c r="G1212" t="inlineStr">
        <is>
          <t>1</t>
        </is>
      </c>
      <c r="H1212" t="inlineStr">
        <is>
          <t>No</t>
        </is>
      </c>
      <c r="I1212" t="inlineStr">
        <is>
          <t>No</t>
        </is>
      </c>
      <c r="J1212" t="inlineStr">
        <is>
          <t>0</t>
        </is>
      </c>
      <c r="K1212" t="inlineStr">
        <is>
          <t>Crow, D. R. (David Richard)</t>
        </is>
      </c>
      <c r="L1212" t="inlineStr">
        <is>
          <t>London ; New York : Blackie, 1994.</t>
        </is>
      </c>
      <c r="M1212" t="inlineStr">
        <is>
          <t>1994</t>
        </is>
      </c>
      <c r="N1212" t="inlineStr">
        <is>
          <t>4th ed.</t>
        </is>
      </c>
      <c r="O1212" t="inlineStr">
        <is>
          <t>eng</t>
        </is>
      </c>
      <c r="P1212" t="inlineStr">
        <is>
          <t>enk</t>
        </is>
      </c>
      <c r="R1212" t="inlineStr">
        <is>
          <t xml:space="preserve">QD </t>
        </is>
      </c>
      <c r="S1212" t="n">
        <v>8</v>
      </c>
      <c r="T1212" t="n">
        <v>8</v>
      </c>
      <c r="U1212" t="inlineStr">
        <is>
          <t>2006-10-01</t>
        </is>
      </c>
      <c r="V1212" t="inlineStr">
        <is>
          <t>2006-10-01</t>
        </is>
      </c>
      <c r="W1212" t="inlineStr">
        <is>
          <t>1999-01-07</t>
        </is>
      </c>
      <c r="X1212" t="inlineStr">
        <is>
          <t>1999-01-07</t>
        </is>
      </c>
      <c r="Y1212" t="n">
        <v>228</v>
      </c>
      <c r="Z1212" t="n">
        <v>121</v>
      </c>
      <c r="AA1212" t="n">
        <v>492</v>
      </c>
      <c r="AB1212" t="n">
        <v>1</v>
      </c>
      <c r="AC1212" t="n">
        <v>4</v>
      </c>
      <c r="AD1212" t="n">
        <v>7</v>
      </c>
      <c r="AE1212" t="n">
        <v>25</v>
      </c>
      <c r="AF1212" t="n">
        <v>1</v>
      </c>
      <c r="AG1212" t="n">
        <v>11</v>
      </c>
      <c r="AH1212" t="n">
        <v>3</v>
      </c>
      <c r="AI1212" t="n">
        <v>5</v>
      </c>
      <c r="AJ1212" t="n">
        <v>5</v>
      </c>
      <c r="AK1212" t="n">
        <v>15</v>
      </c>
      <c r="AL1212" t="n">
        <v>0</v>
      </c>
      <c r="AM1212" t="n">
        <v>3</v>
      </c>
      <c r="AN1212" t="n">
        <v>0</v>
      </c>
      <c r="AO1212" t="n">
        <v>0</v>
      </c>
      <c r="AP1212" t="inlineStr">
        <is>
          <t>No</t>
        </is>
      </c>
      <c r="AQ1212" t="inlineStr">
        <is>
          <t>No</t>
        </is>
      </c>
      <c r="AS1212">
        <f>HYPERLINK("https://creighton-primo.hosted.exlibrisgroup.com/primo-explore/search?tab=default_tab&amp;search_scope=EVERYTHING&amp;vid=01CRU&amp;lang=en_US&amp;offset=0&amp;query=any,contains,991005419859702656","Catalog Record")</f>
        <v/>
      </c>
      <c r="AT1212">
        <f>HYPERLINK("http://www.worldcat.org/oclc/31374246","WorldCat Record")</f>
        <v/>
      </c>
      <c r="AU1212" t="inlineStr">
        <is>
          <t>788053:eng</t>
        </is>
      </c>
      <c r="AV1212" t="inlineStr">
        <is>
          <t>31374246</t>
        </is>
      </c>
      <c r="AW1212" t="inlineStr">
        <is>
          <t>991005419859702656</t>
        </is>
      </c>
      <c r="AX1212" t="inlineStr">
        <is>
          <t>991005419859702656</t>
        </is>
      </c>
      <c r="AY1212" t="inlineStr">
        <is>
          <t>2255422320002656</t>
        </is>
      </c>
      <c r="AZ1212" t="inlineStr">
        <is>
          <t>BOOK</t>
        </is>
      </c>
      <c r="BB1212" t="inlineStr">
        <is>
          <t>9780751401684</t>
        </is>
      </c>
      <c r="BC1212" t="inlineStr">
        <is>
          <t>32285003510517</t>
        </is>
      </c>
      <c r="BD1212" t="inlineStr">
        <is>
          <t>893412871</t>
        </is>
      </c>
    </row>
    <row r="1213">
      <c r="A1213" t="inlineStr">
        <is>
          <t>No</t>
        </is>
      </c>
      <c r="B1213" t="inlineStr">
        <is>
          <t>QD553 .E33 1991</t>
        </is>
      </c>
      <c r="C1213" t="inlineStr">
        <is>
          <t>0                      QD 0553000E  33          1991</t>
        </is>
      </c>
      <c r="D1213" t="inlineStr">
        <is>
          <t>Electrochemical interfaces : modern techniques for in-situ interface characterization / edited by Héctor D. Abruña.</t>
        </is>
      </c>
      <c r="F1213" t="inlineStr">
        <is>
          <t>No</t>
        </is>
      </c>
      <c r="G1213" t="inlineStr">
        <is>
          <t>1</t>
        </is>
      </c>
      <c r="H1213" t="inlineStr">
        <is>
          <t>No</t>
        </is>
      </c>
      <c r="I1213" t="inlineStr">
        <is>
          <t>No</t>
        </is>
      </c>
      <c r="J1213" t="inlineStr">
        <is>
          <t>0</t>
        </is>
      </c>
      <c r="L1213" t="inlineStr">
        <is>
          <t>New York : VCH Pub., 1991.</t>
        </is>
      </c>
      <c r="M1213" t="inlineStr">
        <is>
          <t>1991</t>
        </is>
      </c>
      <c r="O1213" t="inlineStr">
        <is>
          <t>eng</t>
        </is>
      </c>
      <c r="P1213" t="inlineStr">
        <is>
          <t>nyu</t>
        </is>
      </c>
      <c r="R1213" t="inlineStr">
        <is>
          <t xml:space="preserve">QD </t>
        </is>
      </c>
      <c r="S1213" t="n">
        <v>1</v>
      </c>
      <c r="T1213" t="n">
        <v>1</v>
      </c>
      <c r="U1213" t="inlineStr">
        <is>
          <t>2006-10-01</t>
        </is>
      </c>
      <c r="V1213" t="inlineStr">
        <is>
          <t>2006-10-01</t>
        </is>
      </c>
      <c r="W1213" t="inlineStr">
        <is>
          <t>1995-02-22</t>
        </is>
      </c>
      <c r="X1213" t="inlineStr">
        <is>
          <t>1995-02-22</t>
        </is>
      </c>
      <c r="Y1213" t="n">
        <v>245</v>
      </c>
      <c r="Z1213" t="n">
        <v>144</v>
      </c>
      <c r="AA1213" t="n">
        <v>147</v>
      </c>
      <c r="AB1213" t="n">
        <v>2</v>
      </c>
      <c r="AC1213" t="n">
        <v>2</v>
      </c>
      <c r="AD1213" t="n">
        <v>5</v>
      </c>
      <c r="AE1213" t="n">
        <v>5</v>
      </c>
      <c r="AF1213" t="n">
        <v>1</v>
      </c>
      <c r="AG1213" t="n">
        <v>1</v>
      </c>
      <c r="AH1213" t="n">
        <v>2</v>
      </c>
      <c r="AI1213" t="n">
        <v>2</v>
      </c>
      <c r="AJ1213" t="n">
        <v>3</v>
      </c>
      <c r="AK1213" t="n">
        <v>3</v>
      </c>
      <c r="AL1213" t="n">
        <v>1</v>
      </c>
      <c r="AM1213" t="n">
        <v>1</v>
      </c>
      <c r="AN1213" t="n">
        <v>0</v>
      </c>
      <c r="AO1213" t="n">
        <v>0</v>
      </c>
      <c r="AP1213" t="inlineStr">
        <is>
          <t>No</t>
        </is>
      </c>
      <c r="AQ1213" t="inlineStr">
        <is>
          <t>Yes</t>
        </is>
      </c>
      <c r="AR1213">
        <f>HYPERLINK("http://catalog.hathitrust.org/Record/002471695","HathiTrust Record")</f>
        <v/>
      </c>
      <c r="AS1213">
        <f>HYPERLINK("https://creighton-primo.hosted.exlibrisgroup.com/primo-explore/search?tab=default_tab&amp;search_scope=EVERYTHING&amp;vid=01CRU&amp;lang=en_US&amp;offset=0&amp;query=any,contains,991001887759702656","Catalog Record")</f>
        <v/>
      </c>
      <c r="AT1213">
        <f>HYPERLINK("http://www.worldcat.org/oclc/23769137","WorldCat Record")</f>
        <v/>
      </c>
      <c r="AU1213" t="inlineStr">
        <is>
          <t>326650358:eng</t>
        </is>
      </c>
      <c r="AV1213" t="inlineStr">
        <is>
          <t>23769137</t>
        </is>
      </c>
      <c r="AW1213" t="inlineStr">
        <is>
          <t>991001887759702656</t>
        </is>
      </c>
      <c r="AX1213" t="inlineStr">
        <is>
          <t>991001887759702656</t>
        </is>
      </c>
      <c r="AY1213" t="inlineStr">
        <is>
          <t>2271838870002656</t>
        </is>
      </c>
      <c r="AZ1213" t="inlineStr">
        <is>
          <t>BOOK</t>
        </is>
      </c>
      <c r="BB1213" t="inlineStr">
        <is>
          <t>9780895737151</t>
        </is>
      </c>
      <c r="BC1213" t="inlineStr">
        <is>
          <t>32285001999894</t>
        </is>
      </c>
      <c r="BD1213" t="inlineStr">
        <is>
          <t>893885620</t>
        </is>
      </c>
    </row>
    <row r="1214">
      <c r="A1214" t="inlineStr">
        <is>
          <t>No</t>
        </is>
      </c>
      <c r="B1214" t="inlineStr">
        <is>
          <t>QD553 .K673</t>
        </is>
      </c>
      <c r="C1214" t="inlineStr">
        <is>
          <t>0                      QD 0553000K  673</t>
        </is>
      </c>
      <c r="D1214" t="inlineStr">
        <is>
          <t>Ions, electrodes, and membranes / Jiří Koryta.</t>
        </is>
      </c>
      <c r="F1214" t="inlineStr">
        <is>
          <t>No</t>
        </is>
      </c>
      <c r="G1214" t="inlineStr">
        <is>
          <t>1</t>
        </is>
      </c>
      <c r="H1214" t="inlineStr">
        <is>
          <t>No</t>
        </is>
      </c>
      <c r="I1214" t="inlineStr">
        <is>
          <t>No</t>
        </is>
      </c>
      <c r="J1214" t="inlineStr">
        <is>
          <t>0</t>
        </is>
      </c>
      <c r="K1214" t="inlineStr">
        <is>
          <t>Koryta, Jiří.</t>
        </is>
      </c>
      <c r="L1214" t="inlineStr">
        <is>
          <t>Chichester [West Sussex] ; New York : Wiley, c1982.</t>
        </is>
      </c>
      <c r="M1214" t="inlineStr">
        <is>
          <t>1982</t>
        </is>
      </c>
      <c r="O1214" t="inlineStr">
        <is>
          <t>eng</t>
        </is>
      </c>
      <c r="P1214" t="inlineStr">
        <is>
          <t>enk</t>
        </is>
      </c>
      <c r="R1214" t="inlineStr">
        <is>
          <t xml:space="preserve">QD </t>
        </is>
      </c>
      <c r="S1214" t="n">
        <v>4</v>
      </c>
      <c r="T1214" t="n">
        <v>4</v>
      </c>
      <c r="U1214" t="inlineStr">
        <is>
          <t>1996-02-25</t>
        </is>
      </c>
      <c r="V1214" t="inlineStr">
        <is>
          <t>1996-02-25</t>
        </is>
      </c>
      <c r="W1214" t="inlineStr">
        <is>
          <t>1993-02-11</t>
        </is>
      </c>
      <c r="X1214" t="inlineStr">
        <is>
          <t>1993-02-11</t>
        </is>
      </c>
      <c r="Y1214" t="n">
        <v>393</v>
      </c>
      <c r="Z1214" t="n">
        <v>295</v>
      </c>
      <c r="AA1214" t="n">
        <v>357</v>
      </c>
      <c r="AB1214" t="n">
        <v>2</v>
      </c>
      <c r="AC1214" t="n">
        <v>3</v>
      </c>
      <c r="AD1214" t="n">
        <v>10</v>
      </c>
      <c r="AE1214" t="n">
        <v>15</v>
      </c>
      <c r="AF1214" t="n">
        <v>4</v>
      </c>
      <c r="AG1214" t="n">
        <v>5</v>
      </c>
      <c r="AH1214" t="n">
        <v>4</v>
      </c>
      <c r="AI1214" t="n">
        <v>5</v>
      </c>
      <c r="AJ1214" t="n">
        <v>5</v>
      </c>
      <c r="AK1214" t="n">
        <v>9</v>
      </c>
      <c r="AL1214" t="n">
        <v>1</v>
      </c>
      <c r="AM1214" t="n">
        <v>2</v>
      </c>
      <c r="AN1214" t="n">
        <v>0</v>
      </c>
      <c r="AO1214" t="n">
        <v>0</v>
      </c>
      <c r="AP1214" t="inlineStr">
        <is>
          <t>No</t>
        </is>
      </c>
      <c r="AQ1214" t="inlineStr">
        <is>
          <t>Yes</t>
        </is>
      </c>
      <c r="AR1214">
        <f>HYPERLINK("http://catalog.hathitrust.org/Record/000763719","HathiTrust Record")</f>
        <v/>
      </c>
      <c r="AS1214">
        <f>HYPERLINK("https://creighton-primo.hosted.exlibrisgroup.com/primo-explore/search?tab=default_tab&amp;search_scope=EVERYTHING&amp;vid=01CRU&amp;lang=en_US&amp;offset=0&amp;query=any,contains,991005176459702656","Catalog Record")</f>
        <v/>
      </c>
      <c r="AT1214">
        <f>HYPERLINK("http://www.worldcat.org/oclc/7923546","WorldCat Record")</f>
        <v/>
      </c>
      <c r="AU1214" t="inlineStr">
        <is>
          <t>341009:eng</t>
        </is>
      </c>
      <c r="AV1214" t="inlineStr">
        <is>
          <t>7923546</t>
        </is>
      </c>
      <c r="AW1214" t="inlineStr">
        <is>
          <t>991005176459702656</t>
        </is>
      </c>
      <c r="AX1214" t="inlineStr">
        <is>
          <t>991005176459702656</t>
        </is>
      </c>
      <c r="AY1214" t="inlineStr">
        <is>
          <t>2269254050002656</t>
        </is>
      </c>
      <c r="AZ1214" t="inlineStr">
        <is>
          <t>BOOK</t>
        </is>
      </c>
      <c r="BB1214" t="inlineStr">
        <is>
          <t>9780471100072</t>
        </is>
      </c>
      <c r="BC1214" t="inlineStr">
        <is>
          <t>32285001517639</t>
        </is>
      </c>
      <c r="BD1214" t="inlineStr">
        <is>
          <t>893905277</t>
        </is>
      </c>
    </row>
    <row r="1215">
      <c r="A1215" t="inlineStr">
        <is>
          <t>No</t>
        </is>
      </c>
      <c r="B1215" t="inlineStr">
        <is>
          <t>QD553 .O8513 1980</t>
        </is>
      </c>
      <c r="C1215" t="inlineStr">
        <is>
          <t>0                      QD 0553000O  8513        1980</t>
        </is>
      </c>
      <c r="D1215" t="inlineStr">
        <is>
          <t>Electrochemistry : history and theory / Wilhelm Ostwald.</t>
        </is>
      </c>
      <c r="E1215" t="inlineStr">
        <is>
          <t>V.2</t>
        </is>
      </c>
      <c r="F1215" t="inlineStr">
        <is>
          <t>Yes</t>
        </is>
      </c>
      <c r="G1215" t="inlineStr">
        <is>
          <t>1</t>
        </is>
      </c>
      <c r="H1215" t="inlineStr">
        <is>
          <t>No</t>
        </is>
      </c>
      <c r="I1215" t="inlineStr">
        <is>
          <t>No</t>
        </is>
      </c>
      <c r="J1215" t="inlineStr">
        <is>
          <t>0</t>
        </is>
      </c>
      <c r="K1215" t="inlineStr">
        <is>
          <t>Ostwald, Wilhelm, 1853-1932.</t>
        </is>
      </c>
      <c r="L1215" t="inlineStr">
        <is>
          <t>New Delhi : Published for the Smithsonian Institution and the National Science Foundation by Amerind Pub. Co., 1980.</t>
        </is>
      </c>
      <c r="M1215" t="inlineStr">
        <is>
          <t>1980</t>
        </is>
      </c>
      <c r="O1215" t="inlineStr">
        <is>
          <t>eng</t>
        </is>
      </c>
      <c r="P1215" t="inlineStr">
        <is>
          <t xml:space="preserve">ii </t>
        </is>
      </c>
      <c r="R1215" t="inlineStr">
        <is>
          <t xml:space="preserve">QD </t>
        </is>
      </c>
      <c r="S1215" t="n">
        <v>2</v>
      </c>
      <c r="T1215" t="n">
        <v>2</v>
      </c>
      <c r="U1215" t="inlineStr">
        <is>
          <t>1995-03-03</t>
        </is>
      </c>
      <c r="V1215" t="inlineStr">
        <is>
          <t>1995-03-03</t>
        </is>
      </c>
      <c r="W1215" t="inlineStr">
        <is>
          <t>1993-02-11</t>
        </is>
      </c>
      <c r="X1215" t="inlineStr">
        <is>
          <t>1993-02-11</t>
        </is>
      </c>
      <c r="Y1215" t="n">
        <v>226</v>
      </c>
      <c r="Z1215" t="n">
        <v>210</v>
      </c>
      <c r="AA1215" t="n">
        <v>214</v>
      </c>
      <c r="AB1215" t="n">
        <v>3</v>
      </c>
      <c r="AC1215" t="n">
        <v>3</v>
      </c>
      <c r="AD1215" t="n">
        <v>12</v>
      </c>
      <c r="AE1215" t="n">
        <v>12</v>
      </c>
      <c r="AF1215" t="n">
        <v>3</v>
      </c>
      <c r="AG1215" t="n">
        <v>3</v>
      </c>
      <c r="AH1215" t="n">
        <v>1</v>
      </c>
      <c r="AI1215" t="n">
        <v>1</v>
      </c>
      <c r="AJ1215" t="n">
        <v>8</v>
      </c>
      <c r="AK1215" t="n">
        <v>8</v>
      </c>
      <c r="AL1215" t="n">
        <v>2</v>
      </c>
      <c r="AM1215" t="n">
        <v>2</v>
      </c>
      <c r="AN1215" t="n">
        <v>0</v>
      </c>
      <c r="AO1215" t="n">
        <v>0</v>
      </c>
      <c r="AP1215" t="inlineStr">
        <is>
          <t>No</t>
        </is>
      </c>
      <c r="AQ1215" t="inlineStr">
        <is>
          <t>Yes</t>
        </is>
      </c>
      <c r="AR1215">
        <f>HYPERLINK("http://catalog.hathitrust.org/Record/007475113","HathiTrust Record")</f>
        <v/>
      </c>
      <c r="AS1215">
        <f>HYPERLINK("https://creighton-primo.hosted.exlibrisgroup.com/primo-explore/search?tab=default_tab&amp;search_scope=EVERYTHING&amp;vid=01CRU&amp;lang=en_US&amp;offset=0&amp;query=any,contains,991005073379702656","Catalog Record")</f>
        <v/>
      </c>
      <c r="AT1215">
        <f>HYPERLINK("http://www.worldcat.org/oclc/7068700","WorldCat Record")</f>
        <v/>
      </c>
      <c r="AU1215" t="inlineStr">
        <is>
          <t>2908647212:eng</t>
        </is>
      </c>
      <c r="AV1215" t="inlineStr">
        <is>
          <t>7068700</t>
        </is>
      </c>
      <c r="AW1215" t="inlineStr">
        <is>
          <t>991005073379702656</t>
        </is>
      </c>
      <c r="AX1215" t="inlineStr">
        <is>
          <t>991005073379702656</t>
        </is>
      </c>
      <c r="AY1215" t="inlineStr">
        <is>
          <t>2264991000002656</t>
        </is>
      </c>
      <c r="AZ1215" t="inlineStr">
        <is>
          <t>BOOK</t>
        </is>
      </c>
      <c r="BC1215" t="inlineStr">
        <is>
          <t>32285001517654</t>
        </is>
      </c>
      <c r="BD1215" t="inlineStr">
        <is>
          <t>893606777</t>
        </is>
      </c>
    </row>
    <row r="1216">
      <c r="A1216" t="inlineStr">
        <is>
          <t>No</t>
        </is>
      </c>
      <c r="B1216" t="inlineStr">
        <is>
          <t>QD553 .O8513 1980</t>
        </is>
      </c>
      <c r="C1216" t="inlineStr">
        <is>
          <t>0                      QD 0553000O  8513        1980</t>
        </is>
      </c>
      <c r="D1216" t="inlineStr">
        <is>
          <t>Electrochemistry : history and theory / Wilhelm Ostwald.</t>
        </is>
      </c>
      <c r="E1216" t="inlineStr">
        <is>
          <t>V.1</t>
        </is>
      </c>
      <c r="F1216" t="inlineStr">
        <is>
          <t>Yes</t>
        </is>
      </c>
      <c r="G1216" t="inlineStr">
        <is>
          <t>1</t>
        </is>
      </c>
      <c r="H1216" t="inlineStr">
        <is>
          <t>No</t>
        </is>
      </c>
      <c r="I1216" t="inlineStr">
        <is>
          <t>No</t>
        </is>
      </c>
      <c r="J1216" t="inlineStr">
        <is>
          <t>0</t>
        </is>
      </c>
      <c r="K1216" t="inlineStr">
        <is>
          <t>Ostwald, Wilhelm, 1853-1932.</t>
        </is>
      </c>
      <c r="L1216" t="inlineStr">
        <is>
          <t>New Delhi : Published for the Smithsonian Institution and the National Science Foundation by Amerind Pub. Co., 1980.</t>
        </is>
      </c>
      <c r="M1216" t="inlineStr">
        <is>
          <t>1980</t>
        </is>
      </c>
      <c r="O1216" t="inlineStr">
        <is>
          <t>eng</t>
        </is>
      </c>
      <c r="P1216" t="inlineStr">
        <is>
          <t xml:space="preserve">ii </t>
        </is>
      </c>
      <c r="R1216" t="inlineStr">
        <is>
          <t xml:space="preserve">QD </t>
        </is>
      </c>
      <c r="S1216" t="n">
        <v>0</v>
      </c>
      <c r="T1216" t="n">
        <v>2</v>
      </c>
      <c r="V1216" t="inlineStr">
        <is>
          <t>1995-03-03</t>
        </is>
      </c>
      <c r="W1216" t="inlineStr">
        <is>
          <t>1993-02-11</t>
        </is>
      </c>
      <c r="X1216" t="inlineStr">
        <is>
          <t>1993-02-11</t>
        </is>
      </c>
      <c r="Y1216" t="n">
        <v>226</v>
      </c>
      <c r="Z1216" t="n">
        <v>210</v>
      </c>
      <c r="AA1216" t="n">
        <v>214</v>
      </c>
      <c r="AB1216" t="n">
        <v>3</v>
      </c>
      <c r="AC1216" t="n">
        <v>3</v>
      </c>
      <c r="AD1216" t="n">
        <v>12</v>
      </c>
      <c r="AE1216" t="n">
        <v>12</v>
      </c>
      <c r="AF1216" t="n">
        <v>3</v>
      </c>
      <c r="AG1216" t="n">
        <v>3</v>
      </c>
      <c r="AH1216" t="n">
        <v>1</v>
      </c>
      <c r="AI1216" t="n">
        <v>1</v>
      </c>
      <c r="AJ1216" t="n">
        <v>8</v>
      </c>
      <c r="AK1216" t="n">
        <v>8</v>
      </c>
      <c r="AL1216" t="n">
        <v>2</v>
      </c>
      <c r="AM1216" t="n">
        <v>2</v>
      </c>
      <c r="AN1216" t="n">
        <v>0</v>
      </c>
      <c r="AO1216" t="n">
        <v>0</v>
      </c>
      <c r="AP1216" t="inlineStr">
        <is>
          <t>No</t>
        </is>
      </c>
      <c r="AQ1216" t="inlineStr">
        <is>
          <t>Yes</t>
        </is>
      </c>
      <c r="AR1216">
        <f>HYPERLINK("http://catalog.hathitrust.org/Record/007475113","HathiTrust Record")</f>
        <v/>
      </c>
      <c r="AS1216">
        <f>HYPERLINK("https://creighton-primo.hosted.exlibrisgroup.com/primo-explore/search?tab=default_tab&amp;search_scope=EVERYTHING&amp;vid=01CRU&amp;lang=en_US&amp;offset=0&amp;query=any,contains,991005073379702656","Catalog Record")</f>
        <v/>
      </c>
      <c r="AT1216">
        <f>HYPERLINK("http://www.worldcat.org/oclc/7068700","WorldCat Record")</f>
        <v/>
      </c>
      <c r="AU1216" t="inlineStr">
        <is>
          <t>2908647212:eng</t>
        </is>
      </c>
      <c r="AV1216" t="inlineStr">
        <is>
          <t>7068700</t>
        </is>
      </c>
      <c r="AW1216" t="inlineStr">
        <is>
          <t>991005073379702656</t>
        </is>
      </c>
      <c r="AX1216" t="inlineStr">
        <is>
          <t>991005073379702656</t>
        </is>
      </c>
      <c r="AY1216" t="inlineStr">
        <is>
          <t>2264991000002656</t>
        </is>
      </c>
      <c r="AZ1216" t="inlineStr">
        <is>
          <t>BOOK</t>
        </is>
      </c>
      <c r="BC1216" t="inlineStr">
        <is>
          <t>32285001517647</t>
        </is>
      </c>
      <c r="BD1216" t="inlineStr">
        <is>
          <t>893625409</t>
        </is>
      </c>
    </row>
    <row r="1217">
      <c r="A1217" t="inlineStr">
        <is>
          <t>No</t>
        </is>
      </c>
      <c r="B1217" t="inlineStr">
        <is>
          <t>QD553 .P48 1995</t>
        </is>
      </c>
      <c r="C1217" t="inlineStr">
        <is>
          <t>0                      QD 0553000P  48          1995</t>
        </is>
      </c>
      <c r="D1217" t="inlineStr">
        <is>
          <t>Physical electrochemistry : principles, methods, and applications / edited by Israel Rubinstein.</t>
        </is>
      </c>
      <c r="F1217" t="inlineStr">
        <is>
          <t>No</t>
        </is>
      </c>
      <c r="G1217" t="inlineStr">
        <is>
          <t>1</t>
        </is>
      </c>
      <c r="H1217" t="inlineStr">
        <is>
          <t>No</t>
        </is>
      </c>
      <c r="I1217" t="inlineStr">
        <is>
          <t>No</t>
        </is>
      </c>
      <c r="J1217" t="inlineStr">
        <is>
          <t>0</t>
        </is>
      </c>
      <c r="L1217" t="inlineStr">
        <is>
          <t>New York : M. Dekker, c1995.</t>
        </is>
      </c>
      <c r="M1217" t="inlineStr">
        <is>
          <t>1995</t>
        </is>
      </c>
      <c r="O1217" t="inlineStr">
        <is>
          <t>eng</t>
        </is>
      </c>
      <c r="P1217" t="inlineStr">
        <is>
          <t>nyu</t>
        </is>
      </c>
      <c r="Q1217" t="inlineStr">
        <is>
          <t>Monographs in electroanalytical chemistry and electrochemistry</t>
        </is>
      </c>
      <c r="R1217" t="inlineStr">
        <is>
          <t xml:space="preserve">QD </t>
        </is>
      </c>
      <c r="S1217" t="n">
        <v>3</v>
      </c>
      <c r="T1217" t="n">
        <v>3</v>
      </c>
      <c r="U1217" t="inlineStr">
        <is>
          <t>1996-10-18</t>
        </is>
      </c>
      <c r="V1217" t="inlineStr">
        <is>
          <t>1996-10-18</t>
        </is>
      </c>
      <c r="W1217" t="inlineStr">
        <is>
          <t>1996-05-16</t>
        </is>
      </c>
      <c r="X1217" t="inlineStr">
        <is>
          <t>1996-05-16</t>
        </is>
      </c>
      <c r="Y1217" t="n">
        <v>281</v>
      </c>
      <c r="Z1217" t="n">
        <v>212</v>
      </c>
      <c r="AA1217" t="n">
        <v>254</v>
      </c>
      <c r="AB1217" t="n">
        <v>2</v>
      </c>
      <c r="AC1217" t="n">
        <v>2</v>
      </c>
      <c r="AD1217" t="n">
        <v>14</v>
      </c>
      <c r="AE1217" t="n">
        <v>16</v>
      </c>
      <c r="AF1217" t="n">
        <v>5</v>
      </c>
      <c r="AG1217" t="n">
        <v>6</v>
      </c>
      <c r="AH1217" t="n">
        <v>4</v>
      </c>
      <c r="AI1217" t="n">
        <v>5</v>
      </c>
      <c r="AJ1217" t="n">
        <v>9</v>
      </c>
      <c r="AK1217" t="n">
        <v>10</v>
      </c>
      <c r="AL1217" t="n">
        <v>1</v>
      </c>
      <c r="AM1217" t="n">
        <v>1</v>
      </c>
      <c r="AN1217" t="n">
        <v>0</v>
      </c>
      <c r="AO1217" t="n">
        <v>0</v>
      </c>
      <c r="AP1217" t="inlineStr">
        <is>
          <t>No</t>
        </is>
      </c>
      <c r="AQ1217" t="inlineStr">
        <is>
          <t>No</t>
        </is>
      </c>
      <c r="AS1217">
        <f>HYPERLINK("https://creighton-primo.hosted.exlibrisgroup.com/primo-explore/search?tab=default_tab&amp;search_scope=EVERYTHING&amp;vid=01CRU&amp;lang=en_US&amp;offset=0&amp;query=any,contains,991002443019702656","Catalog Record")</f>
        <v/>
      </c>
      <c r="AT1217">
        <f>HYPERLINK("http://www.worldcat.org/oclc/31866880","WorldCat Record")</f>
        <v/>
      </c>
      <c r="AU1217" t="inlineStr">
        <is>
          <t>806897002:eng</t>
        </is>
      </c>
      <c r="AV1217" t="inlineStr">
        <is>
          <t>31866880</t>
        </is>
      </c>
      <c r="AW1217" t="inlineStr">
        <is>
          <t>991002443019702656</t>
        </is>
      </c>
      <c r="AX1217" t="inlineStr">
        <is>
          <t>991002443019702656</t>
        </is>
      </c>
      <c r="AY1217" t="inlineStr">
        <is>
          <t>2257575530002656</t>
        </is>
      </c>
      <c r="AZ1217" t="inlineStr">
        <is>
          <t>BOOK</t>
        </is>
      </c>
      <c r="BB1217" t="inlineStr">
        <is>
          <t>9780824794521</t>
        </is>
      </c>
      <c r="BC1217" t="inlineStr">
        <is>
          <t>32285002169455</t>
        </is>
      </c>
      <c r="BD1217" t="inlineStr">
        <is>
          <t>893226840</t>
        </is>
      </c>
    </row>
    <row r="1218">
      <c r="A1218" t="inlineStr">
        <is>
          <t>No</t>
        </is>
      </c>
      <c r="B1218" t="inlineStr">
        <is>
          <t>QD553 .S32 1995</t>
        </is>
      </c>
      <c r="C1218" t="inlineStr">
        <is>
          <t>0                      QD 0553000S  32          1995</t>
        </is>
      </c>
      <c r="D1218" t="inlineStr">
        <is>
          <t>Electrochemistry for chemists / Donald T. Sawyer, Andrzej Sobkowiak, Julian L. Roberts, Jr.</t>
        </is>
      </c>
      <c r="F1218" t="inlineStr">
        <is>
          <t>No</t>
        </is>
      </c>
      <c r="G1218" t="inlineStr">
        <is>
          <t>1</t>
        </is>
      </c>
      <c r="H1218" t="inlineStr">
        <is>
          <t>No</t>
        </is>
      </c>
      <c r="I1218" t="inlineStr">
        <is>
          <t>No</t>
        </is>
      </c>
      <c r="J1218" t="inlineStr">
        <is>
          <t>0</t>
        </is>
      </c>
      <c r="K1218" t="inlineStr">
        <is>
          <t>Sawyer, Donald T.</t>
        </is>
      </c>
      <c r="L1218" t="inlineStr">
        <is>
          <t>New York : Wiley, c1995.</t>
        </is>
      </c>
      <c r="M1218" t="inlineStr">
        <is>
          <t>1995</t>
        </is>
      </c>
      <c r="N1218" t="inlineStr">
        <is>
          <t>2nd ed.</t>
        </is>
      </c>
      <c r="O1218" t="inlineStr">
        <is>
          <t>eng</t>
        </is>
      </c>
      <c r="P1218" t="inlineStr">
        <is>
          <t>nyu</t>
        </is>
      </c>
      <c r="R1218" t="inlineStr">
        <is>
          <t xml:space="preserve">QD </t>
        </is>
      </c>
      <c r="S1218" t="n">
        <v>4</v>
      </c>
      <c r="T1218" t="n">
        <v>4</v>
      </c>
      <c r="U1218" t="inlineStr">
        <is>
          <t>2006-10-01</t>
        </is>
      </c>
      <c r="V1218" t="inlineStr">
        <is>
          <t>2006-10-01</t>
        </is>
      </c>
      <c r="W1218" t="inlineStr">
        <is>
          <t>1999-01-07</t>
        </is>
      </c>
      <c r="X1218" t="inlineStr">
        <is>
          <t>1999-01-07</t>
        </is>
      </c>
      <c r="Y1218" t="n">
        <v>609</v>
      </c>
      <c r="Z1218" t="n">
        <v>476</v>
      </c>
      <c r="AA1218" t="n">
        <v>477</v>
      </c>
      <c r="AB1218" t="n">
        <v>3</v>
      </c>
      <c r="AC1218" t="n">
        <v>3</v>
      </c>
      <c r="AD1218" t="n">
        <v>25</v>
      </c>
      <c r="AE1218" t="n">
        <v>25</v>
      </c>
      <c r="AF1218" t="n">
        <v>15</v>
      </c>
      <c r="AG1218" t="n">
        <v>15</v>
      </c>
      <c r="AH1218" t="n">
        <v>4</v>
      </c>
      <c r="AI1218" t="n">
        <v>4</v>
      </c>
      <c r="AJ1218" t="n">
        <v>13</v>
      </c>
      <c r="AK1218" t="n">
        <v>13</v>
      </c>
      <c r="AL1218" t="n">
        <v>2</v>
      </c>
      <c r="AM1218" t="n">
        <v>2</v>
      </c>
      <c r="AN1218" t="n">
        <v>0</v>
      </c>
      <c r="AO1218" t="n">
        <v>0</v>
      </c>
      <c r="AP1218" t="inlineStr">
        <is>
          <t>No</t>
        </is>
      </c>
      <c r="AQ1218" t="inlineStr">
        <is>
          <t>No</t>
        </is>
      </c>
      <c r="AS1218">
        <f>HYPERLINK("https://creighton-primo.hosted.exlibrisgroup.com/primo-explore/search?tab=default_tab&amp;search_scope=EVERYTHING&amp;vid=01CRU&amp;lang=en_US&amp;offset=0&amp;query=any,contains,991002451439702656","Catalog Record")</f>
        <v/>
      </c>
      <c r="AT1218">
        <f>HYPERLINK("http://www.worldcat.org/oclc/31970315","WorldCat Record")</f>
        <v/>
      </c>
      <c r="AU1218" t="inlineStr">
        <is>
          <t>3134938963:eng</t>
        </is>
      </c>
      <c r="AV1218" t="inlineStr">
        <is>
          <t>31970315</t>
        </is>
      </c>
      <c r="AW1218" t="inlineStr">
        <is>
          <t>991002451439702656</t>
        </is>
      </c>
      <c r="AX1218" t="inlineStr">
        <is>
          <t>991002451439702656</t>
        </is>
      </c>
      <c r="AY1218" t="inlineStr">
        <is>
          <t>2267561160002656</t>
        </is>
      </c>
      <c r="AZ1218" t="inlineStr">
        <is>
          <t>BOOK</t>
        </is>
      </c>
      <c r="BB1218" t="inlineStr">
        <is>
          <t>9780471594680</t>
        </is>
      </c>
      <c r="BC1218" t="inlineStr">
        <is>
          <t>32285003510608</t>
        </is>
      </c>
      <c r="BD1218" t="inlineStr">
        <is>
          <t>893347509</t>
        </is>
      </c>
    </row>
    <row r="1219">
      <c r="A1219" t="inlineStr">
        <is>
          <t>No</t>
        </is>
      </c>
      <c r="B1219" t="inlineStr">
        <is>
          <t>QD553 .T4 v...</t>
        </is>
      </c>
      <c r="C1219" t="inlineStr">
        <is>
          <t>0                      QD 0553000T  4                                                       v...</t>
        </is>
      </c>
      <c r="D1219" t="inlineStr">
        <is>
          <t>Techniques of electrochemistry / Edited by Ernest Yeager [and] Alvin J. Salkind.</t>
        </is>
      </c>
      <c r="E1219" t="inlineStr">
        <is>
          <t>V.1</t>
        </is>
      </c>
      <c r="F1219" t="inlineStr">
        <is>
          <t>Yes</t>
        </is>
      </c>
      <c r="G1219" t="inlineStr">
        <is>
          <t>1</t>
        </is>
      </c>
      <c r="H1219" t="inlineStr">
        <is>
          <t>No</t>
        </is>
      </c>
      <c r="I1219" t="inlineStr">
        <is>
          <t>No</t>
        </is>
      </c>
      <c r="J1219" t="inlineStr">
        <is>
          <t>0</t>
        </is>
      </c>
      <c r="L1219" t="inlineStr">
        <is>
          <t>New York : Wiley-Interscience, [1972-</t>
        </is>
      </c>
      <c r="M1219" t="inlineStr">
        <is>
          <t>1972</t>
        </is>
      </c>
      <c r="O1219" t="inlineStr">
        <is>
          <t>eng</t>
        </is>
      </c>
      <c r="P1219" t="inlineStr">
        <is>
          <t>nyu</t>
        </is>
      </c>
      <c r="R1219" t="inlineStr">
        <is>
          <t xml:space="preserve">QD </t>
        </is>
      </c>
      <c r="S1219" t="n">
        <v>3</v>
      </c>
      <c r="T1219" t="n">
        <v>3</v>
      </c>
      <c r="U1219" t="inlineStr">
        <is>
          <t>1994-11-23</t>
        </is>
      </c>
      <c r="V1219" t="inlineStr">
        <is>
          <t>1994-11-23</t>
        </is>
      </c>
      <c r="W1219" t="inlineStr">
        <is>
          <t>1993-08-12</t>
        </is>
      </c>
      <c r="X1219" t="inlineStr">
        <is>
          <t>1993-08-12</t>
        </is>
      </c>
      <c r="Y1219" t="n">
        <v>375</v>
      </c>
      <c r="Z1219" t="n">
        <v>285</v>
      </c>
      <c r="AA1219" t="n">
        <v>293</v>
      </c>
      <c r="AB1219" t="n">
        <v>3</v>
      </c>
      <c r="AC1219" t="n">
        <v>3</v>
      </c>
      <c r="AD1219" t="n">
        <v>7</v>
      </c>
      <c r="AE1219" t="n">
        <v>7</v>
      </c>
      <c r="AF1219" t="n">
        <v>1</v>
      </c>
      <c r="AG1219" t="n">
        <v>1</v>
      </c>
      <c r="AH1219" t="n">
        <v>3</v>
      </c>
      <c r="AI1219" t="n">
        <v>3</v>
      </c>
      <c r="AJ1219" t="n">
        <v>3</v>
      </c>
      <c r="AK1219" t="n">
        <v>3</v>
      </c>
      <c r="AL1219" t="n">
        <v>2</v>
      </c>
      <c r="AM1219" t="n">
        <v>2</v>
      </c>
      <c r="AN1219" t="n">
        <v>0</v>
      </c>
      <c r="AO1219" t="n">
        <v>0</v>
      </c>
      <c r="AP1219" t="inlineStr">
        <is>
          <t>No</t>
        </is>
      </c>
      <c r="AQ1219" t="inlineStr">
        <is>
          <t>Yes</t>
        </is>
      </c>
      <c r="AR1219">
        <f>HYPERLINK("http://catalog.hathitrust.org/Record/000123561","HathiTrust Record")</f>
        <v/>
      </c>
      <c r="AS1219">
        <f>HYPERLINK("https://creighton-primo.hosted.exlibrisgroup.com/primo-explore/search?tab=default_tab&amp;search_scope=EVERYTHING&amp;vid=01CRU&amp;lang=en_US&amp;offset=0&amp;query=any,contains,991001886259702656","Catalog Record")</f>
        <v/>
      </c>
      <c r="AT1219">
        <f>HYPERLINK("http://www.worldcat.org/oclc/238527","WorldCat Record")</f>
        <v/>
      </c>
      <c r="AU1219" t="inlineStr">
        <is>
          <t>2864345795:eng</t>
        </is>
      </c>
      <c r="AV1219" t="inlineStr">
        <is>
          <t>238527</t>
        </is>
      </c>
      <c r="AW1219" t="inlineStr">
        <is>
          <t>991001886259702656</t>
        </is>
      </c>
      <c r="AX1219" t="inlineStr">
        <is>
          <t>991001886259702656</t>
        </is>
      </c>
      <c r="AY1219" t="inlineStr">
        <is>
          <t>2255154840002656</t>
        </is>
      </c>
      <c r="AZ1219" t="inlineStr">
        <is>
          <t>BOOK</t>
        </is>
      </c>
      <c r="BB1219" t="inlineStr">
        <is>
          <t>9780471977001</t>
        </is>
      </c>
      <c r="BC1219" t="inlineStr">
        <is>
          <t>32285001753820</t>
        </is>
      </c>
      <c r="BD1219" t="inlineStr">
        <is>
          <t>893232344</t>
        </is>
      </c>
    </row>
    <row r="1220">
      <c r="A1220" t="inlineStr">
        <is>
          <t>No</t>
        </is>
      </c>
      <c r="B1220" t="inlineStr">
        <is>
          <t>QD553 .T4 v...</t>
        </is>
      </c>
      <c r="C1220" t="inlineStr">
        <is>
          <t>0                      QD 0553000T  4                                                       v...</t>
        </is>
      </c>
      <c r="D1220" t="inlineStr">
        <is>
          <t>Techniques of electrochemistry / Edited by Ernest Yeager [and] Alvin J. Salkind.</t>
        </is>
      </c>
      <c r="E1220" t="inlineStr">
        <is>
          <t>V.3</t>
        </is>
      </c>
      <c r="F1220" t="inlineStr">
        <is>
          <t>Yes</t>
        </is>
      </c>
      <c r="G1220" t="inlineStr">
        <is>
          <t>1</t>
        </is>
      </c>
      <c r="H1220" t="inlineStr">
        <is>
          <t>No</t>
        </is>
      </c>
      <c r="I1220" t="inlineStr">
        <is>
          <t>No</t>
        </is>
      </c>
      <c r="J1220" t="inlineStr">
        <is>
          <t>0</t>
        </is>
      </c>
      <c r="L1220" t="inlineStr">
        <is>
          <t>New York : Wiley-Interscience, [1972-</t>
        </is>
      </c>
      <c r="M1220" t="inlineStr">
        <is>
          <t>1972</t>
        </is>
      </c>
      <c r="O1220" t="inlineStr">
        <is>
          <t>eng</t>
        </is>
      </c>
      <c r="P1220" t="inlineStr">
        <is>
          <t>nyu</t>
        </is>
      </c>
      <c r="R1220" t="inlineStr">
        <is>
          <t xml:space="preserve">QD </t>
        </is>
      </c>
      <c r="S1220" t="n">
        <v>0</v>
      </c>
      <c r="T1220" t="n">
        <v>3</v>
      </c>
      <c r="V1220" t="inlineStr">
        <is>
          <t>1994-11-23</t>
        </is>
      </c>
      <c r="W1220" t="inlineStr">
        <is>
          <t>1993-08-12</t>
        </is>
      </c>
      <c r="X1220" t="inlineStr">
        <is>
          <t>1993-08-12</t>
        </is>
      </c>
      <c r="Y1220" t="n">
        <v>375</v>
      </c>
      <c r="Z1220" t="n">
        <v>285</v>
      </c>
      <c r="AA1220" t="n">
        <v>293</v>
      </c>
      <c r="AB1220" t="n">
        <v>3</v>
      </c>
      <c r="AC1220" t="n">
        <v>3</v>
      </c>
      <c r="AD1220" t="n">
        <v>7</v>
      </c>
      <c r="AE1220" t="n">
        <v>7</v>
      </c>
      <c r="AF1220" t="n">
        <v>1</v>
      </c>
      <c r="AG1220" t="n">
        <v>1</v>
      </c>
      <c r="AH1220" t="n">
        <v>3</v>
      </c>
      <c r="AI1220" t="n">
        <v>3</v>
      </c>
      <c r="AJ1220" t="n">
        <v>3</v>
      </c>
      <c r="AK1220" t="n">
        <v>3</v>
      </c>
      <c r="AL1220" t="n">
        <v>2</v>
      </c>
      <c r="AM1220" t="n">
        <v>2</v>
      </c>
      <c r="AN1220" t="n">
        <v>0</v>
      </c>
      <c r="AO1220" t="n">
        <v>0</v>
      </c>
      <c r="AP1220" t="inlineStr">
        <is>
          <t>No</t>
        </is>
      </c>
      <c r="AQ1220" t="inlineStr">
        <is>
          <t>Yes</t>
        </is>
      </c>
      <c r="AR1220">
        <f>HYPERLINK("http://catalog.hathitrust.org/Record/000123561","HathiTrust Record")</f>
        <v/>
      </c>
      <c r="AS1220">
        <f>HYPERLINK("https://creighton-primo.hosted.exlibrisgroup.com/primo-explore/search?tab=default_tab&amp;search_scope=EVERYTHING&amp;vid=01CRU&amp;lang=en_US&amp;offset=0&amp;query=any,contains,991001886259702656","Catalog Record")</f>
        <v/>
      </c>
      <c r="AT1220">
        <f>HYPERLINK("http://www.worldcat.org/oclc/238527","WorldCat Record")</f>
        <v/>
      </c>
      <c r="AU1220" t="inlineStr">
        <is>
          <t>2864345795:eng</t>
        </is>
      </c>
      <c r="AV1220" t="inlineStr">
        <is>
          <t>238527</t>
        </is>
      </c>
      <c r="AW1220" t="inlineStr">
        <is>
          <t>991001886259702656</t>
        </is>
      </c>
      <c r="AX1220" t="inlineStr">
        <is>
          <t>991001886259702656</t>
        </is>
      </c>
      <c r="AY1220" t="inlineStr">
        <is>
          <t>2255154840002656</t>
        </is>
      </c>
      <c r="AZ1220" t="inlineStr">
        <is>
          <t>BOOK</t>
        </is>
      </c>
      <c r="BB1220" t="inlineStr">
        <is>
          <t>9780471977001</t>
        </is>
      </c>
      <c r="BC1220" t="inlineStr">
        <is>
          <t>32285001753846</t>
        </is>
      </c>
      <c r="BD1220" t="inlineStr">
        <is>
          <t>893250577</t>
        </is>
      </c>
    </row>
    <row r="1221">
      <c r="A1221" t="inlineStr">
        <is>
          <t>No</t>
        </is>
      </c>
      <c r="B1221" t="inlineStr">
        <is>
          <t>QD553 .T4 v...</t>
        </is>
      </c>
      <c r="C1221" t="inlineStr">
        <is>
          <t>0                      QD 0553000T  4                                                       v...</t>
        </is>
      </c>
      <c r="D1221" t="inlineStr">
        <is>
          <t>Techniques of electrochemistry / Edited by Ernest Yeager [and] Alvin J. Salkind.</t>
        </is>
      </c>
      <c r="E1221" t="inlineStr">
        <is>
          <t>V.2</t>
        </is>
      </c>
      <c r="F1221" t="inlineStr">
        <is>
          <t>Yes</t>
        </is>
      </c>
      <c r="G1221" t="inlineStr">
        <is>
          <t>1</t>
        </is>
      </c>
      <c r="H1221" t="inlineStr">
        <is>
          <t>No</t>
        </is>
      </c>
      <c r="I1221" t="inlineStr">
        <is>
          <t>No</t>
        </is>
      </c>
      <c r="J1221" t="inlineStr">
        <is>
          <t>0</t>
        </is>
      </c>
      <c r="L1221" t="inlineStr">
        <is>
          <t>New York : Wiley-Interscience, [1972-</t>
        </is>
      </c>
      <c r="M1221" t="inlineStr">
        <is>
          <t>1972</t>
        </is>
      </c>
      <c r="O1221" t="inlineStr">
        <is>
          <t>eng</t>
        </is>
      </c>
      <c r="P1221" t="inlineStr">
        <is>
          <t>nyu</t>
        </is>
      </c>
      <c r="R1221" t="inlineStr">
        <is>
          <t xml:space="preserve">QD </t>
        </is>
      </c>
      <c r="S1221" t="n">
        <v>0</v>
      </c>
      <c r="T1221" t="n">
        <v>3</v>
      </c>
      <c r="V1221" t="inlineStr">
        <is>
          <t>1994-11-23</t>
        </is>
      </c>
      <c r="W1221" t="inlineStr">
        <is>
          <t>1993-08-12</t>
        </is>
      </c>
      <c r="X1221" t="inlineStr">
        <is>
          <t>1993-08-12</t>
        </is>
      </c>
      <c r="Y1221" t="n">
        <v>375</v>
      </c>
      <c r="Z1221" t="n">
        <v>285</v>
      </c>
      <c r="AA1221" t="n">
        <v>293</v>
      </c>
      <c r="AB1221" t="n">
        <v>3</v>
      </c>
      <c r="AC1221" t="n">
        <v>3</v>
      </c>
      <c r="AD1221" t="n">
        <v>7</v>
      </c>
      <c r="AE1221" t="n">
        <v>7</v>
      </c>
      <c r="AF1221" t="n">
        <v>1</v>
      </c>
      <c r="AG1221" t="n">
        <v>1</v>
      </c>
      <c r="AH1221" t="n">
        <v>3</v>
      </c>
      <c r="AI1221" t="n">
        <v>3</v>
      </c>
      <c r="AJ1221" t="n">
        <v>3</v>
      </c>
      <c r="AK1221" t="n">
        <v>3</v>
      </c>
      <c r="AL1221" t="n">
        <v>2</v>
      </c>
      <c r="AM1221" t="n">
        <v>2</v>
      </c>
      <c r="AN1221" t="n">
        <v>0</v>
      </c>
      <c r="AO1221" t="n">
        <v>0</v>
      </c>
      <c r="AP1221" t="inlineStr">
        <is>
          <t>No</t>
        </is>
      </c>
      <c r="AQ1221" t="inlineStr">
        <is>
          <t>Yes</t>
        </is>
      </c>
      <c r="AR1221">
        <f>HYPERLINK("http://catalog.hathitrust.org/Record/000123561","HathiTrust Record")</f>
        <v/>
      </c>
      <c r="AS1221">
        <f>HYPERLINK("https://creighton-primo.hosted.exlibrisgroup.com/primo-explore/search?tab=default_tab&amp;search_scope=EVERYTHING&amp;vid=01CRU&amp;lang=en_US&amp;offset=0&amp;query=any,contains,991001886259702656","Catalog Record")</f>
        <v/>
      </c>
      <c r="AT1221">
        <f>HYPERLINK("http://www.worldcat.org/oclc/238527","WorldCat Record")</f>
        <v/>
      </c>
      <c r="AU1221" t="inlineStr">
        <is>
          <t>2864345795:eng</t>
        </is>
      </c>
      <c r="AV1221" t="inlineStr">
        <is>
          <t>238527</t>
        </is>
      </c>
      <c r="AW1221" t="inlineStr">
        <is>
          <t>991001886259702656</t>
        </is>
      </c>
      <c r="AX1221" t="inlineStr">
        <is>
          <t>991001886259702656</t>
        </is>
      </c>
      <c r="AY1221" t="inlineStr">
        <is>
          <t>2255154840002656</t>
        </is>
      </c>
      <c r="AZ1221" t="inlineStr">
        <is>
          <t>BOOK</t>
        </is>
      </c>
      <c r="BB1221" t="inlineStr">
        <is>
          <t>9780471977001</t>
        </is>
      </c>
      <c r="BC1221" t="inlineStr">
        <is>
          <t>32285001753838</t>
        </is>
      </c>
      <c r="BD1221" t="inlineStr">
        <is>
          <t>893244490</t>
        </is>
      </c>
    </row>
    <row r="1222">
      <c r="A1222" t="inlineStr">
        <is>
          <t>No</t>
        </is>
      </c>
      <c r="B1222" t="inlineStr">
        <is>
          <t>QD553 .V413 1967</t>
        </is>
      </c>
      <c r="C1222" t="inlineStr">
        <is>
          <t>0                      QD 0553000V  413         1967</t>
        </is>
      </c>
      <c r="D1222" t="inlineStr">
        <is>
          <t>Electrochemical kinetics : theoretical and experimental aspects / Klaus J. Vetter ; Revisions, additions, and a foreword to the English-language ed. prepared by the author ; Translated by Scripta Technica, inc. Translation editors: Stanley Bruckenstein, Brian Howard.</t>
        </is>
      </c>
      <c r="F1222" t="inlineStr">
        <is>
          <t>No</t>
        </is>
      </c>
      <c r="G1222" t="inlineStr">
        <is>
          <t>1</t>
        </is>
      </c>
      <c r="H1222" t="inlineStr">
        <is>
          <t>No</t>
        </is>
      </c>
      <c r="I1222" t="inlineStr">
        <is>
          <t>No</t>
        </is>
      </c>
      <c r="J1222" t="inlineStr">
        <is>
          <t>0</t>
        </is>
      </c>
      <c r="K1222" t="inlineStr">
        <is>
          <t>Vetter, Klaus J.</t>
        </is>
      </c>
      <c r="L1222" t="inlineStr">
        <is>
          <t>New York : Academic Press, 1967.</t>
        </is>
      </c>
      <c r="M1222" t="inlineStr">
        <is>
          <t>1967</t>
        </is>
      </c>
      <c r="O1222" t="inlineStr">
        <is>
          <t>eng</t>
        </is>
      </c>
      <c r="P1222" t="inlineStr">
        <is>
          <t xml:space="preserve">xx </t>
        </is>
      </c>
      <c r="R1222" t="inlineStr">
        <is>
          <t xml:space="preserve">QD </t>
        </is>
      </c>
      <c r="S1222" t="n">
        <v>0</v>
      </c>
      <c r="T1222" t="n">
        <v>0</v>
      </c>
      <c r="U1222" t="inlineStr">
        <is>
          <t>2001-05-25</t>
        </is>
      </c>
      <c r="V1222" t="inlineStr">
        <is>
          <t>2001-05-25</t>
        </is>
      </c>
      <c r="W1222" t="inlineStr">
        <is>
          <t>1996-02-23</t>
        </is>
      </c>
      <c r="X1222" t="inlineStr">
        <is>
          <t>1996-02-23</t>
        </is>
      </c>
      <c r="Y1222" t="n">
        <v>300</v>
      </c>
      <c r="Z1222" t="n">
        <v>209</v>
      </c>
      <c r="AA1222" t="n">
        <v>365</v>
      </c>
      <c r="AB1222" t="n">
        <v>3</v>
      </c>
      <c r="AC1222" t="n">
        <v>3</v>
      </c>
      <c r="AD1222" t="n">
        <v>6</v>
      </c>
      <c r="AE1222" t="n">
        <v>17</v>
      </c>
      <c r="AF1222" t="n">
        <v>1</v>
      </c>
      <c r="AG1222" t="n">
        <v>6</v>
      </c>
      <c r="AH1222" t="n">
        <v>1</v>
      </c>
      <c r="AI1222" t="n">
        <v>5</v>
      </c>
      <c r="AJ1222" t="n">
        <v>3</v>
      </c>
      <c r="AK1222" t="n">
        <v>10</v>
      </c>
      <c r="AL1222" t="n">
        <v>2</v>
      </c>
      <c r="AM1222" t="n">
        <v>2</v>
      </c>
      <c r="AN1222" t="n">
        <v>0</v>
      </c>
      <c r="AO1222" t="n">
        <v>0</v>
      </c>
      <c r="AP1222" t="inlineStr">
        <is>
          <t>No</t>
        </is>
      </c>
      <c r="AQ1222" t="inlineStr">
        <is>
          <t>Yes</t>
        </is>
      </c>
      <c r="AR1222">
        <f>HYPERLINK("http://catalog.hathitrust.org/Record/000391767","HathiTrust Record")</f>
        <v/>
      </c>
      <c r="AS1222">
        <f>HYPERLINK("https://creighton-primo.hosted.exlibrisgroup.com/primo-explore/search?tab=default_tab&amp;search_scope=EVERYTHING&amp;vid=01CRU&amp;lang=en_US&amp;offset=0&amp;query=any,contains,991004543979702656","Catalog Record")</f>
        <v/>
      </c>
      <c r="AT1222">
        <f>HYPERLINK("http://www.worldcat.org/oclc/3911902","WorldCat Record")</f>
        <v/>
      </c>
      <c r="AU1222" t="inlineStr">
        <is>
          <t>235468323:eng</t>
        </is>
      </c>
      <c r="AV1222" t="inlineStr">
        <is>
          <t>3911902</t>
        </is>
      </c>
      <c r="AW1222" t="inlineStr">
        <is>
          <t>991004543979702656</t>
        </is>
      </c>
      <c r="AX1222" t="inlineStr">
        <is>
          <t>991004543979702656</t>
        </is>
      </c>
      <c r="AY1222" t="inlineStr">
        <is>
          <t>2259843590002656</t>
        </is>
      </c>
      <c r="AZ1222" t="inlineStr">
        <is>
          <t>BOOK</t>
        </is>
      </c>
      <c r="BC1222" t="inlineStr">
        <is>
          <t>32285002137627</t>
        </is>
      </c>
      <c r="BD1222" t="inlineStr">
        <is>
          <t>893722490</t>
        </is>
      </c>
    </row>
    <row r="1223">
      <c r="A1223" t="inlineStr">
        <is>
          <t>No</t>
        </is>
      </c>
      <c r="B1223" t="inlineStr">
        <is>
          <t>QD561 .A366</t>
        </is>
      </c>
      <c r="C1223" t="inlineStr">
        <is>
          <t>0                      QD 0561000A  366</t>
        </is>
      </c>
      <c r="D1223" t="inlineStr">
        <is>
          <t>Ionization constants of acids and bases; a laboratory manual, by Adrien Albert and E.P. Serjeant.</t>
        </is>
      </c>
      <c r="F1223" t="inlineStr">
        <is>
          <t>No</t>
        </is>
      </c>
      <c r="G1223" t="inlineStr">
        <is>
          <t>1</t>
        </is>
      </c>
      <c r="H1223" t="inlineStr">
        <is>
          <t>No</t>
        </is>
      </c>
      <c r="I1223" t="inlineStr">
        <is>
          <t>No</t>
        </is>
      </c>
      <c r="J1223" t="inlineStr">
        <is>
          <t>0</t>
        </is>
      </c>
      <c r="K1223" t="inlineStr">
        <is>
          <t>Albert, Adrien.</t>
        </is>
      </c>
      <c r="L1223" t="inlineStr">
        <is>
          <t>London, Methuen; New York, Wiley [1962]</t>
        </is>
      </c>
      <c r="M1223" t="inlineStr">
        <is>
          <t>1962</t>
        </is>
      </c>
      <c r="O1223" t="inlineStr">
        <is>
          <t>eng</t>
        </is>
      </c>
      <c r="P1223" t="inlineStr">
        <is>
          <t>enk</t>
        </is>
      </c>
      <c r="R1223" t="inlineStr">
        <is>
          <t xml:space="preserve">QD </t>
        </is>
      </c>
      <c r="S1223" t="n">
        <v>9</v>
      </c>
      <c r="T1223" t="n">
        <v>9</v>
      </c>
      <c r="U1223" t="inlineStr">
        <is>
          <t>2000-01-31</t>
        </is>
      </c>
      <c r="V1223" t="inlineStr">
        <is>
          <t>2000-01-31</t>
        </is>
      </c>
      <c r="W1223" t="inlineStr">
        <is>
          <t>1997-06-17</t>
        </is>
      </c>
      <c r="X1223" t="inlineStr">
        <is>
          <t>1997-06-17</t>
        </is>
      </c>
      <c r="Y1223" t="n">
        <v>427</v>
      </c>
      <c r="Z1223" t="n">
        <v>331</v>
      </c>
      <c r="AA1223" t="n">
        <v>342</v>
      </c>
      <c r="AB1223" t="n">
        <v>3</v>
      </c>
      <c r="AC1223" t="n">
        <v>3</v>
      </c>
      <c r="AD1223" t="n">
        <v>13</v>
      </c>
      <c r="AE1223" t="n">
        <v>13</v>
      </c>
      <c r="AF1223" t="n">
        <v>5</v>
      </c>
      <c r="AG1223" t="n">
        <v>5</v>
      </c>
      <c r="AH1223" t="n">
        <v>4</v>
      </c>
      <c r="AI1223" t="n">
        <v>4</v>
      </c>
      <c r="AJ1223" t="n">
        <v>7</v>
      </c>
      <c r="AK1223" t="n">
        <v>7</v>
      </c>
      <c r="AL1223" t="n">
        <v>2</v>
      </c>
      <c r="AM1223" t="n">
        <v>2</v>
      </c>
      <c r="AN1223" t="n">
        <v>0</v>
      </c>
      <c r="AO1223" t="n">
        <v>0</v>
      </c>
      <c r="AP1223" t="inlineStr">
        <is>
          <t>No</t>
        </is>
      </c>
      <c r="AQ1223" t="inlineStr">
        <is>
          <t>Yes</t>
        </is>
      </c>
      <c r="AR1223">
        <f>HYPERLINK("http://catalog.hathitrust.org/Record/001035178","HathiTrust Record")</f>
        <v/>
      </c>
      <c r="AS1223">
        <f>HYPERLINK("https://creighton-primo.hosted.exlibrisgroup.com/primo-explore/search?tab=default_tab&amp;search_scope=EVERYTHING&amp;vid=01CRU&amp;lang=en_US&amp;offset=0&amp;query=any,contains,991000387339702656","Catalog Record")</f>
        <v/>
      </c>
      <c r="AT1223">
        <f>HYPERLINK("http://www.worldcat.org/oclc/10527274","WorldCat Record")</f>
        <v/>
      </c>
      <c r="AU1223" t="inlineStr">
        <is>
          <t>231446961:eng</t>
        </is>
      </c>
      <c r="AV1223" t="inlineStr">
        <is>
          <t>10527274</t>
        </is>
      </c>
      <c r="AW1223" t="inlineStr">
        <is>
          <t>991000387339702656</t>
        </is>
      </c>
      <c r="AX1223" t="inlineStr">
        <is>
          <t>991000387339702656</t>
        </is>
      </c>
      <c r="AY1223" t="inlineStr">
        <is>
          <t>2255291440002656</t>
        </is>
      </c>
      <c r="AZ1223" t="inlineStr">
        <is>
          <t>BOOK</t>
        </is>
      </c>
      <c r="BC1223" t="inlineStr">
        <is>
          <t>32285002809043</t>
        </is>
      </c>
      <c r="BD1223" t="inlineStr">
        <is>
          <t>893614138</t>
        </is>
      </c>
    </row>
    <row r="1224">
      <c r="A1224" t="inlineStr">
        <is>
          <t>No</t>
        </is>
      </c>
      <c r="B1224" t="inlineStr">
        <is>
          <t>QD561 .A366 1971</t>
        </is>
      </c>
      <c r="C1224" t="inlineStr">
        <is>
          <t>0                      QD 0561000A  366         1971</t>
        </is>
      </c>
      <c r="D1224" t="inlineStr">
        <is>
          <t>The determination of ionization constants: a laboratory manual [by] Adrien Albert [and] E. P. Serjeant.</t>
        </is>
      </c>
      <c r="F1224" t="inlineStr">
        <is>
          <t>No</t>
        </is>
      </c>
      <c r="G1224" t="inlineStr">
        <is>
          <t>1</t>
        </is>
      </c>
      <c r="H1224" t="inlineStr">
        <is>
          <t>No</t>
        </is>
      </c>
      <c r="I1224" t="inlineStr">
        <is>
          <t>No</t>
        </is>
      </c>
      <c r="J1224" t="inlineStr">
        <is>
          <t>0</t>
        </is>
      </c>
      <c r="K1224" t="inlineStr">
        <is>
          <t>Albert, Adrien.</t>
        </is>
      </c>
      <c r="L1224" t="inlineStr">
        <is>
          <t>London, Chapman and Hall, 1971.</t>
        </is>
      </c>
      <c r="M1224" t="inlineStr">
        <is>
          <t>1971</t>
        </is>
      </c>
      <c r="N1224" t="inlineStr">
        <is>
          <t>2nd ed.</t>
        </is>
      </c>
      <c r="O1224" t="inlineStr">
        <is>
          <t>eng</t>
        </is>
      </c>
      <c r="P1224" t="inlineStr">
        <is>
          <t>enk</t>
        </is>
      </c>
      <c r="R1224" t="inlineStr">
        <is>
          <t xml:space="preserve">QD </t>
        </is>
      </c>
      <c r="S1224" t="n">
        <v>11</v>
      </c>
      <c r="T1224" t="n">
        <v>11</v>
      </c>
      <c r="U1224" t="inlineStr">
        <is>
          <t>2000-07-20</t>
        </is>
      </c>
      <c r="V1224" t="inlineStr">
        <is>
          <t>2000-07-20</t>
        </is>
      </c>
      <c r="W1224" t="inlineStr">
        <is>
          <t>1997-06-17</t>
        </is>
      </c>
      <c r="X1224" t="inlineStr">
        <is>
          <t>1997-06-17</t>
        </is>
      </c>
      <c r="Y1224" t="n">
        <v>344</v>
      </c>
      <c r="Z1224" t="n">
        <v>234</v>
      </c>
      <c r="AA1224" t="n">
        <v>412</v>
      </c>
      <c r="AB1224" t="n">
        <v>4</v>
      </c>
      <c r="AC1224" t="n">
        <v>4</v>
      </c>
      <c r="AD1224" t="n">
        <v>11</v>
      </c>
      <c r="AE1224" t="n">
        <v>17</v>
      </c>
      <c r="AF1224" t="n">
        <v>3</v>
      </c>
      <c r="AG1224" t="n">
        <v>5</v>
      </c>
      <c r="AH1224" t="n">
        <v>2</v>
      </c>
      <c r="AI1224" t="n">
        <v>3</v>
      </c>
      <c r="AJ1224" t="n">
        <v>5</v>
      </c>
      <c r="AK1224" t="n">
        <v>9</v>
      </c>
      <c r="AL1224" t="n">
        <v>3</v>
      </c>
      <c r="AM1224" t="n">
        <v>3</v>
      </c>
      <c r="AN1224" t="n">
        <v>0</v>
      </c>
      <c r="AO1224" t="n">
        <v>0</v>
      </c>
      <c r="AP1224" t="inlineStr">
        <is>
          <t>No</t>
        </is>
      </c>
      <c r="AQ1224" t="inlineStr">
        <is>
          <t>Yes</t>
        </is>
      </c>
      <c r="AR1224">
        <f>HYPERLINK("http://catalog.hathitrust.org/Record/007469810","HathiTrust Record")</f>
        <v/>
      </c>
      <c r="AS1224">
        <f>HYPERLINK("https://creighton-primo.hosted.exlibrisgroup.com/primo-explore/search?tab=default_tab&amp;search_scope=EVERYTHING&amp;vid=01CRU&amp;lang=en_US&amp;offset=0&amp;query=any,contains,991002413269702656","Catalog Record")</f>
        <v/>
      </c>
      <c r="AT1224">
        <f>HYPERLINK("http://www.worldcat.org/oclc/340803","WorldCat Record")</f>
        <v/>
      </c>
      <c r="AU1224" t="inlineStr">
        <is>
          <t>1475408:eng</t>
        </is>
      </c>
      <c r="AV1224" t="inlineStr">
        <is>
          <t>340803</t>
        </is>
      </c>
      <c r="AW1224" t="inlineStr">
        <is>
          <t>991002413269702656</t>
        </is>
      </c>
      <c r="AX1224" t="inlineStr">
        <is>
          <t>991002413269702656</t>
        </is>
      </c>
      <c r="AY1224" t="inlineStr">
        <is>
          <t>2262636160002656</t>
        </is>
      </c>
      <c r="AZ1224" t="inlineStr">
        <is>
          <t>BOOK</t>
        </is>
      </c>
      <c r="BB1224" t="inlineStr">
        <is>
          <t>9780412103001</t>
        </is>
      </c>
      <c r="BC1224" t="inlineStr">
        <is>
          <t>32285002809050</t>
        </is>
      </c>
      <c r="BD1224" t="inlineStr">
        <is>
          <t>893616084</t>
        </is>
      </c>
    </row>
    <row r="1225">
      <c r="A1225" t="inlineStr">
        <is>
          <t>No</t>
        </is>
      </c>
      <c r="B1225" t="inlineStr">
        <is>
          <t>QD561 .B32 1964</t>
        </is>
      </c>
      <c r="C1225" t="inlineStr">
        <is>
          <t>0                      QD 0561000B  32          1964</t>
        </is>
      </c>
      <c r="D1225" t="inlineStr">
        <is>
          <t>Determination of pH; theory and practice.</t>
        </is>
      </c>
      <c r="F1225" t="inlineStr">
        <is>
          <t>No</t>
        </is>
      </c>
      <c r="G1225" t="inlineStr">
        <is>
          <t>1</t>
        </is>
      </c>
      <c r="H1225" t="inlineStr">
        <is>
          <t>No</t>
        </is>
      </c>
      <c r="I1225" t="inlineStr">
        <is>
          <t>No</t>
        </is>
      </c>
      <c r="J1225" t="inlineStr">
        <is>
          <t>0</t>
        </is>
      </c>
      <c r="K1225" t="inlineStr">
        <is>
          <t>Bates, Roger G. (Roger Gordon), 1912-</t>
        </is>
      </c>
      <c r="L1225" t="inlineStr">
        <is>
          <t>New York, Wiley [1964]</t>
        </is>
      </c>
      <c r="M1225" t="inlineStr">
        <is>
          <t>1964</t>
        </is>
      </c>
      <c r="O1225" t="inlineStr">
        <is>
          <t>eng</t>
        </is>
      </c>
      <c r="P1225" t="inlineStr">
        <is>
          <t>nyu</t>
        </is>
      </c>
      <c r="R1225" t="inlineStr">
        <is>
          <t xml:space="preserve">QD </t>
        </is>
      </c>
      <c r="S1225" t="n">
        <v>4</v>
      </c>
      <c r="T1225" t="n">
        <v>4</v>
      </c>
      <c r="U1225" t="inlineStr">
        <is>
          <t>2000-01-31</t>
        </is>
      </c>
      <c r="V1225" t="inlineStr">
        <is>
          <t>2000-01-31</t>
        </is>
      </c>
      <c r="W1225" t="inlineStr">
        <is>
          <t>1997-06-17</t>
        </is>
      </c>
      <c r="X1225" t="inlineStr">
        <is>
          <t>1997-06-17</t>
        </is>
      </c>
      <c r="Y1225" t="n">
        <v>731</v>
      </c>
      <c r="Z1225" t="n">
        <v>610</v>
      </c>
      <c r="AA1225" t="n">
        <v>925</v>
      </c>
      <c r="AB1225" t="n">
        <v>4</v>
      </c>
      <c r="AC1225" t="n">
        <v>7</v>
      </c>
      <c r="AD1225" t="n">
        <v>16</v>
      </c>
      <c r="AE1225" t="n">
        <v>31</v>
      </c>
      <c r="AF1225" t="n">
        <v>6</v>
      </c>
      <c r="AG1225" t="n">
        <v>10</v>
      </c>
      <c r="AH1225" t="n">
        <v>5</v>
      </c>
      <c r="AI1225" t="n">
        <v>7</v>
      </c>
      <c r="AJ1225" t="n">
        <v>7</v>
      </c>
      <c r="AK1225" t="n">
        <v>16</v>
      </c>
      <c r="AL1225" t="n">
        <v>3</v>
      </c>
      <c r="AM1225" t="n">
        <v>6</v>
      </c>
      <c r="AN1225" t="n">
        <v>0</v>
      </c>
      <c r="AO1225" t="n">
        <v>0</v>
      </c>
      <c r="AP1225" t="inlineStr">
        <is>
          <t>No</t>
        </is>
      </c>
      <c r="AQ1225" t="inlineStr">
        <is>
          <t>Yes</t>
        </is>
      </c>
      <c r="AR1225">
        <f>HYPERLINK("http://catalog.hathitrust.org/Record/001114341","HathiTrust Record")</f>
        <v/>
      </c>
      <c r="AS1225">
        <f>HYPERLINK("https://creighton-primo.hosted.exlibrisgroup.com/primo-explore/search?tab=default_tab&amp;search_scope=EVERYTHING&amp;vid=01CRU&amp;lang=en_US&amp;offset=0&amp;query=any,contains,991002960769702656","Catalog Record")</f>
        <v/>
      </c>
      <c r="AT1225">
        <f>HYPERLINK("http://www.worldcat.org/oclc/543829","WorldCat Record")</f>
        <v/>
      </c>
      <c r="AU1225" t="inlineStr">
        <is>
          <t>5838794:eng</t>
        </is>
      </c>
      <c r="AV1225" t="inlineStr">
        <is>
          <t>543829</t>
        </is>
      </c>
      <c r="AW1225" t="inlineStr">
        <is>
          <t>991002960769702656</t>
        </is>
      </c>
      <c r="AX1225" t="inlineStr">
        <is>
          <t>991002960769702656</t>
        </is>
      </c>
      <c r="AY1225" t="inlineStr">
        <is>
          <t>2265405850002656</t>
        </is>
      </c>
      <c r="AZ1225" t="inlineStr">
        <is>
          <t>BOOK</t>
        </is>
      </c>
      <c r="BC1225" t="inlineStr">
        <is>
          <t>32285002809076</t>
        </is>
      </c>
      <c r="BD1225" t="inlineStr">
        <is>
          <t>893880652</t>
        </is>
      </c>
    </row>
    <row r="1226">
      <c r="A1226" t="inlineStr">
        <is>
          <t>No</t>
        </is>
      </c>
      <c r="B1226" t="inlineStr">
        <is>
          <t>QD561 .B9525 1988</t>
        </is>
      </c>
      <c r="C1226" t="inlineStr">
        <is>
          <t>0                      QD 0561000B  9525        1988</t>
        </is>
      </c>
      <c r="D1226" t="inlineStr">
        <is>
          <t>Ions in solution : basic principles of chemical interactions / J. Burgess.</t>
        </is>
      </c>
      <c r="F1226" t="inlineStr">
        <is>
          <t>No</t>
        </is>
      </c>
      <c r="G1226" t="inlineStr">
        <is>
          <t>1</t>
        </is>
      </c>
      <c r="H1226" t="inlineStr">
        <is>
          <t>No</t>
        </is>
      </c>
      <c r="I1226" t="inlineStr">
        <is>
          <t>No</t>
        </is>
      </c>
      <c r="J1226" t="inlineStr">
        <is>
          <t>0</t>
        </is>
      </c>
      <c r="K1226" t="inlineStr">
        <is>
          <t>Burgess, John, 1936-</t>
        </is>
      </c>
      <c r="L1226" t="inlineStr">
        <is>
          <t>Chichester, England : E. Horwood ; New York : Halsted Press, 1988.</t>
        </is>
      </c>
      <c r="M1226" t="inlineStr">
        <is>
          <t>1988</t>
        </is>
      </c>
      <c r="O1226" t="inlineStr">
        <is>
          <t>eng</t>
        </is>
      </c>
      <c r="P1226" t="inlineStr">
        <is>
          <t>enk</t>
        </is>
      </c>
      <c r="Q1226" t="inlineStr">
        <is>
          <t>Ellis Horwood series in inorganic chemistry</t>
        </is>
      </c>
      <c r="R1226" t="inlineStr">
        <is>
          <t xml:space="preserve">QD </t>
        </is>
      </c>
      <c r="S1226" t="n">
        <v>6</v>
      </c>
      <c r="T1226" t="n">
        <v>6</v>
      </c>
      <c r="U1226" t="inlineStr">
        <is>
          <t>2004-11-30</t>
        </is>
      </c>
      <c r="V1226" t="inlineStr">
        <is>
          <t>2004-11-30</t>
        </is>
      </c>
      <c r="W1226" t="inlineStr">
        <is>
          <t>1993-02-11</t>
        </is>
      </c>
      <c r="X1226" t="inlineStr">
        <is>
          <t>1993-02-11</t>
        </is>
      </c>
      <c r="Y1226" t="n">
        <v>492</v>
      </c>
      <c r="Z1226" t="n">
        <v>384</v>
      </c>
      <c r="AA1226" t="n">
        <v>481</v>
      </c>
      <c r="AB1226" t="n">
        <v>2</v>
      </c>
      <c r="AC1226" t="n">
        <v>3</v>
      </c>
      <c r="AD1226" t="n">
        <v>22</v>
      </c>
      <c r="AE1226" t="n">
        <v>27</v>
      </c>
      <c r="AF1226" t="n">
        <v>12</v>
      </c>
      <c r="AG1226" t="n">
        <v>14</v>
      </c>
      <c r="AH1226" t="n">
        <v>5</v>
      </c>
      <c r="AI1226" t="n">
        <v>7</v>
      </c>
      <c r="AJ1226" t="n">
        <v>11</v>
      </c>
      <c r="AK1226" t="n">
        <v>12</v>
      </c>
      <c r="AL1226" t="n">
        <v>1</v>
      </c>
      <c r="AM1226" t="n">
        <v>2</v>
      </c>
      <c r="AN1226" t="n">
        <v>0</v>
      </c>
      <c r="AO1226" t="n">
        <v>0</v>
      </c>
      <c r="AP1226" t="inlineStr">
        <is>
          <t>No</t>
        </is>
      </c>
      <c r="AQ1226" t="inlineStr">
        <is>
          <t>Yes</t>
        </is>
      </c>
      <c r="AR1226">
        <f>HYPERLINK("http://catalog.hathitrust.org/Record/001090190","HathiTrust Record")</f>
        <v/>
      </c>
      <c r="AS1226">
        <f>HYPERLINK("https://creighton-primo.hosted.exlibrisgroup.com/primo-explore/search?tab=default_tab&amp;search_scope=EVERYTHING&amp;vid=01CRU&amp;lang=en_US&amp;offset=0&amp;query=any,contains,991001241929702656","Catalog Record")</f>
        <v/>
      </c>
      <c r="AT1226">
        <f>HYPERLINK("http://www.worldcat.org/oclc/17620879","WorldCat Record")</f>
        <v/>
      </c>
      <c r="AU1226" t="inlineStr">
        <is>
          <t>808327747:eng</t>
        </is>
      </c>
      <c r="AV1226" t="inlineStr">
        <is>
          <t>17620879</t>
        </is>
      </c>
      <c r="AW1226" t="inlineStr">
        <is>
          <t>991001241929702656</t>
        </is>
      </c>
      <c r="AX1226" t="inlineStr">
        <is>
          <t>991001241929702656</t>
        </is>
      </c>
      <c r="AY1226" t="inlineStr">
        <is>
          <t>2261815530002656</t>
        </is>
      </c>
      <c r="AZ1226" t="inlineStr">
        <is>
          <t>BOOK</t>
        </is>
      </c>
      <c r="BB1226" t="inlineStr">
        <is>
          <t>9780470210598</t>
        </is>
      </c>
      <c r="BC1226" t="inlineStr">
        <is>
          <t>32285001517662</t>
        </is>
      </c>
      <c r="BD1226" t="inlineStr">
        <is>
          <t>893709121</t>
        </is>
      </c>
    </row>
    <row r="1227">
      <c r="A1227" t="inlineStr">
        <is>
          <t>No</t>
        </is>
      </c>
      <c r="B1227" t="inlineStr">
        <is>
          <t>QD561 .C644</t>
        </is>
      </c>
      <c r="C1227" t="inlineStr">
        <is>
          <t>0                      QD 0561000C  644</t>
        </is>
      </c>
      <c r="D1227" t="inlineStr">
        <is>
          <t>Ionic hydration in chemistry and biophysics / B.E. Conway.</t>
        </is>
      </c>
      <c r="F1227" t="inlineStr">
        <is>
          <t>No</t>
        </is>
      </c>
      <c r="G1227" t="inlineStr">
        <is>
          <t>1</t>
        </is>
      </c>
      <c r="H1227" t="inlineStr">
        <is>
          <t>No</t>
        </is>
      </c>
      <c r="I1227" t="inlineStr">
        <is>
          <t>No</t>
        </is>
      </c>
      <c r="J1227" t="inlineStr">
        <is>
          <t>0</t>
        </is>
      </c>
      <c r="K1227" t="inlineStr">
        <is>
          <t>Conway, B. E.</t>
        </is>
      </c>
      <c r="L1227" t="inlineStr">
        <is>
          <t>Amsterdam ; New York : Elsevier Scientific Pub. Co. : distributors for the U.S. and Canada, Elsevier/North-Holland, 1981.</t>
        </is>
      </c>
      <c r="M1227" t="inlineStr">
        <is>
          <t>1981</t>
        </is>
      </c>
      <c r="O1227" t="inlineStr">
        <is>
          <t>eng</t>
        </is>
      </c>
      <c r="P1227" t="inlineStr">
        <is>
          <t xml:space="preserve">ne </t>
        </is>
      </c>
      <c r="Q1227" t="inlineStr">
        <is>
          <t>Studies in physical and theoretical chemistry ; v. 12</t>
        </is>
      </c>
      <c r="R1227" t="inlineStr">
        <is>
          <t xml:space="preserve">QD </t>
        </is>
      </c>
      <c r="S1227" t="n">
        <v>3</v>
      </c>
      <c r="T1227" t="n">
        <v>3</v>
      </c>
      <c r="U1227" t="inlineStr">
        <is>
          <t>1994-09-26</t>
        </is>
      </c>
      <c r="V1227" t="inlineStr">
        <is>
          <t>1994-09-26</t>
        </is>
      </c>
      <c r="W1227" t="inlineStr">
        <is>
          <t>1993-02-11</t>
        </is>
      </c>
      <c r="X1227" t="inlineStr">
        <is>
          <t>1993-02-11</t>
        </is>
      </c>
      <c r="Y1227" t="n">
        <v>234</v>
      </c>
      <c r="Z1227" t="n">
        <v>134</v>
      </c>
      <c r="AA1227" t="n">
        <v>135</v>
      </c>
      <c r="AB1227" t="n">
        <v>2</v>
      </c>
      <c r="AC1227" t="n">
        <v>2</v>
      </c>
      <c r="AD1227" t="n">
        <v>4</v>
      </c>
      <c r="AE1227" t="n">
        <v>4</v>
      </c>
      <c r="AF1227" t="n">
        <v>0</v>
      </c>
      <c r="AG1227" t="n">
        <v>0</v>
      </c>
      <c r="AH1227" t="n">
        <v>1</v>
      </c>
      <c r="AI1227" t="n">
        <v>1</v>
      </c>
      <c r="AJ1227" t="n">
        <v>3</v>
      </c>
      <c r="AK1227" t="n">
        <v>3</v>
      </c>
      <c r="AL1227" t="n">
        <v>1</v>
      </c>
      <c r="AM1227" t="n">
        <v>1</v>
      </c>
      <c r="AN1227" t="n">
        <v>0</v>
      </c>
      <c r="AO1227" t="n">
        <v>0</v>
      </c>
      <c r="AP1227" t="inlineStr">
        <is>
          <t>No</t>
        </is>
      </c>
      <c r="AQ1227" t="inlineStr">
        <is>
          <t>Yes</t>
        </is>
      </c>
      <c r="AR1227">
        <f>HYPERLINK("http://catalog.hathitrust.org/Record/000099805","HathiTrust Record")</f>
        <v/>
      </c>
      <c r="AS1227">
        <f>HYPERLINK("https://creighton-primo.hosted.exlibrisgroup.com/primo-explore/search?tab=default_tab&amp;search_scope=EVERYTHING&amp;vid=01CRU&amp;lang=en_US&amp;offset=0&amp;query=any,contains,991005115179702656","Catalog Record")</f>
        <v/>
      </c>
      <c r="AT1227">
        <f>HYPERLINK("http://www.worldcat.org/oclc/7461801","WorldCat Record")</f>
        <v/>
      </c>
      <c r="AU1227" t="inlineStr">
        <is>
          <t>482871:eng</t>
        </is>
      </c>
      <c r="AV1227" t="inlineStr">
        <is>
          <t>7461801</t>
        </is>
      </c>
      <c r="AW1227" t="inlineStr">
        <is>
          <t>991005115179702656</t>
        </is>
      </c>
      <c r="AX1227" t="inlineStr">
        <is>
          <t>991005115179702656</t>
        </is>
      </c>
      <c r="AY1227" t="inlineStr">
        <is>
          <t>2265973880002656</t>
        </is>
      </c>
      <c r="AZ1227" t="inlineStr">
        <is>
          <t>BOOK</t>
        </is>
      </c>
      <c r="BB1227" t="inlineStr">
        <is>
          <t>9780444419477</t>
        </is>
      </c>
      <c r="BC1227" t="inlineStr">
        <is>
          <t>32285001517670</t>
        </is>
      </c>
      <c r="BD1227" t="inlineStr">
        <is>
          <t>893338529</t>
        </is>
      </c>
    </row>
    <row r="1228">
      <c r="A1228" t="inlineStr">
        <is>
          <t>No</t>
        </is>
      </c>
      <c r="B1228" t="inlineStr">
        <is>
          <t>QD561 .I664 2003</t>
        </is>
      </c>
      <c r="C1228" t="inlineStr">
        <is>
          <t>0                      QD 0561000I  664         2003</t>
        </is>
      </c>
      <c r="D1228" t="inlineStr">
        <is>
          <t>Ionic liquids in synthesis / P. Wasserscheid and T. Welton (eds.).</t>
        </is>
      </c>
      <c r="F1228" t="inlineStr">
        <is>
          <t>No</t>
        </is>
      </c>
      <c r="G1228" t="inlineStr">
        <is>
          <t>1</t>
        </is>
      </c>
      <c r="H1228" t="inlineStr">
        <is>
          <t>No</t>
        </is>
      </c>
      <c r="I1228" t="inlineStr">
        <is>
          <t>No</t>
        </is>
      </c>
      <c r="J1228" t="inlineStr">
        <is>
          <t>0</t>
        </is>
      </c>
      <c r="L1228" t="inlineStr">
        <is>
          <t>Weinheim : Wiley-VCH, c2003.</t>
        </is>
      </c>
      <c r="M1228" t="inlineStr">
        <is>
          <t>2003</t>
        </is>
      </c>
      <c r="O1228" t="inlineStr">
        <is>
          <t>eng</t>
        </is>
      </c>
      <c r="P1228" t="inlineStr">
        <is>
          <t xml:space="preserve">gw </t>
        </is>
      </c>
      <c r="R1228" t="inlineStr">
        <is>
          <t xml:space="preserve">QD </t>
        </is>
      </c>
      <c r="S1228" t="n">
        <v>9</v>
      </c>
      <c r="T1228" t="n">
        <v>9</v>
      </c>
      <c r="U1228" t="inlineStr">
        <is>
          <t>2006-05-12</t>
        </is>
      </c>
      <c r="V1228" t="inlineStr">
        <is>
          <t>2006-05-12</t>
        </is>
      </c>
      <c r="W1228" t="inlineStr">
        <is>
          <t>2003-03-06</t>
        </is>
      </c>
      <c r="X1228" t="inlineStr">
        <is>
          <t>2003-03-06</t>
        </is>
      </c>
      <c r="Y1228" t="n">
        <v>283</v>
      </c>
      <c r="Z1228" t="n">
        <v>195</v>
      </c>
      <c r="AA1228" t="n">
        <v>324</v>
      </c>
      <c r="AB1228" t="n">
        <v>4</v>
      </c>
      <c r="AC1228" t="n">
        <v>4</v>
      </c>
      <c r="AD1228" t="n">
        <v>11</v>
      </c>
      <c r="AE1228" t="n">
        <v>13</v>
      </c>
      <c r="AF1228" t="n">
        <v>3</v>
      </c>
      <c r="AG1228" t="n">
        <v>4</v>
      </c>
      <c r="AH1228" t="n">
        <v>3</v>
      </c>
      <c r="AI1228" t="n">
        <v>3</v>
      </c>
      <c r="AJ1228" t="n">
        <v>5</v>
      </c>
      <c r="AK1228" t="n">
        <v>6</v>
      </c>
      <c r="AL1228" t="n">
        <v>3</v>
      </c>
      <c r="AM1228" t="n">
        <v>3</v>
      </c>
      <c r="AN1228" t="n">
        <v>0</v>
      </c>
      <c r="AO1228" t="n">
        <v>0</v>
      </c>
      <c r="AP1228" t="inlineStr">
        <is>
          <t>No</t>
        </is>
      </c>
      <c r="AQ1228" t="inlineStr">
        <is>
          <t>No</t>
        </is>
      </c>
      <c r="AS1228">
        <f>HYPERLINK("https://creighton-primo.hosted.exlibrisgroup.com/primo-explore/search?tab=default_tab&amp;search_scope=EVERYTHING&amp;vid=01CRU&amp;lang=en_US&amp;offset=0&amp;query=any,contains,991003998739702656","Catalog Record")</f>
        <v/>
      </c>
      <c r="AT1228">
        <f>HYPERLINK("http://www.worldcat.org/oclc/50099668","WorldCat Record")</f>
        <v/>
      </c>
      <c r="AU1228" t="inlineStr">
        <is>
          <t>766906330:eng</t>
        </is>
      </c>
      <c r="AV1228" t="inlineStr">
        <is>
          <t>50099668</t>
        </is>
      </c>
      <c r="AW1228" t="inlineStr">
        <is>
          <t>991003998739702656</t>
        </is>
      </c>
      <c r="AX1228" t="inlineStr">
        <is>
          <t>991003998739702656</t>
        </is>
      </c>
      <c r="AY1228" t="inlineStr">
        <is>
          <t>2258567370002656</t>
        </is>
      </c>
      <c r="AZ1228" t="inlineStr">
        <is>
          <t>BOOK</t>
        </is>
      </c>
      <c r="BB1228" t="inlineStr">
        <is>
          <t>9783527305155</t>
        </is>
      </c>
      <c r="BC1228" t="inlineStr">
        <is>
          <t>32285004683024</t>
        </is>
      </c>
      <c r="BD1228" t="inlineStr">
        <is>
          <t>893718335</t>
        </is>
      </c>
    </row>
    <row r="1229">
      <c r="A1229" t="inlineStr">
        <is>
          <t>No</t>
        </is>
      </c>
      <c r="B1229" t="inlineStr">
        <is>
          <t>QD571 .A39 1992</t>
        </is>
      </c>
      <c r="C1229" t="inlineStr">
        <is>
          <t>0                      QD 0571000A  39          1992</t>
        </is>
      </c>
      <c r="D1229" t="inlineStr">
        <is>
          <t>Adsorption of molecules at metal electrodes / editors, Jacek Lipkowski and Philip N. Ross.</t>
        </is>
      </c>
      <c r="F1229" t="inlineStr">
        <is>
          <t>No</t>
        </is>
      </c>
      <c r="G1229" t="inlineStr">
        <is>
          <t>1</t>
        </is>
      </c>
      <c r="H1229" t="inlineStr">
        <is>
          <t>No</t>
        </is>
      </c>
      <c r="I1229" t="inlineStr">
        <is>
          <t>No</t>
        </is>
      </c>
      <c r="J1229" t="inlineStr">
        <is>
          <t>0</t>
        </is>
      </c>
      <c r="L1229" t="inlineStr">
        <is>
          <t>New York, NY : VCH, c1992.</t>
        </is>
      </c>
      <c r="M1229" t="inlineStr">
        <is>
          <t>1992</t>
        </is>
      </c>
      <c r="O1229" t="inlineStr">
        <is>
          <t>eng</t>
        </is>
      </c>
      <c r="P1229" t="inlineStr">
        <is>
          <t>nyu</t>
        </is>
      </c>
      <c r="Q1229" t="inlineStr">
        <is>
          <t>Frontiers of electrochemistry</t>
        </is>
      </c>
      <c r="R1229" t="inlineStr">
        <is>
          <t xml:space="preserve">QD </t>
        </is>
      </c>
      <c r="S1229" t="n">
        <v>4</v>
      </c>
      <c r="T1229" t="n">
        <v>4</v>
      </c>
      <c r="U1229" t="inlineStr">
        <is>
          <t>2001-03-26</t>
        </is>
      </c>
      <c r="V1229" t="inlineStr">
        <is>
          <t>2001-03-26</t>
        </is>
      </c>
      <c r="W1229" t="inlineStr">
        <is>
          <t>1999-01-04</t>
        </is>
      </c>
      <c r="X1229" t="inlineStr">
        <is>
          <t>1999-01-04</t>
        </is>
      </c>
      <c r="Y1229" t="n">
        <v>184</v>
      </c>
      <c r="Z1229" t="n">
        <v>114</v>
      </c>
      <c r="AA1229" t="n">
        <v>115</v>
      </c>
      <c r="AB1229" t="n">
        <v>2</v>
      </c>
      <c r="AC1229" t="n">
        <v>2</v>
      </c>
      <c r="AD1229" t="n">
        <v>6</v>
      </c>
      <c r="AE1229" t="n">
        <v>6</v>
      </c>
      <c r="AF1229" t="n">
        <v>0</v>
      </c>
      <c r="AG1229" t="n">
        <v>0</v>
      </c>
      <c r="AH1229" t="n">
        <v>3</v>
      </c>
      <c r="AI1229" t="n">
        <v>3</v>
      </c>
      <c r="AJ1229" t="n">
        <v>3</v>
      </c>
      <c r="AK1229" t="n">
        <v>3</v>
      </c>
      <c r="AL1229" t="n">
        <v>1</v>
      </c>
      <c r="AM1229" t="n">
        <v>1</v>
      </c>
      <c r="AN1229" t="n">
        <v>0</v>
      </c>
      <c r="AO1229" t="n">
        <v>0</v>
      </c>
      <c r="AP1229" t="inlineStr">
        <is>
          <t>No</t>
        </is>
      </c>
      <c r="AQ1229" t="inlineStr">
        <is>
          <t>Yes</t>
        </is>
      </c>
      <c r="AR1229">
        <f>HYPERLINK("http://catalog.hathitrust.org/Record/002581783","HathiTrust Record")</f>
        <v/>
      </c>
      <c r="AS1229">
        <f>HYPERLINK("https://creighton-primo.hosted.exlibrisgroup.com/primo-explore/search?tab=default_tab&amp;search_scope=EVERYTHING&amp;vid=01CRU&amp;lang=en_US&amp;offset=0&amp;query=any,contains,991005415419702656","Catalog Record")</f>
        <v/>
      </c>
      <c r="AT1229">
        <f>HYPERLINK("http://www.worldcat.org/oclc/25965528","WorldCat Record")</f>
        <v/>
      </c>
      <c r="AU1229" t="inlineStr">
        <is>
          <t>365410804:eng</t>
        </is>
      </c>
      <c r="AV1229" t="inlineStr">
        <is>
          <t>25965528</t>
        </is>
      </c>
      <c r="AW1229" t="inlineStr">
        <is>
          <t>991005415419702656</t>
        </is>
      </c>
      <c r="AX1229" t="inlineStr">
        <is>
          <t>991005415419702656</t>
        </is>
      </c>
      <c r="AY1229" t="inlineStr">
        <is>
          <t>2260942360002656</t>
        </is>
      </c>
      <c r="AZ1229" t="inlineStr">
        <is>
          <t>BOOK</t>
        </is>
      </c>
      <c r="BB1229" t="inlineStr">
        <is>
          <t>9780895737861</t>
        </is>
      </c>
      <c r="BC1229" t="inlineStr">
        <is>
          <t>32285003508313</t>
        </is>
      </c>
      <c r="BD1229" t="inlineStr">
        <is>
          <t>893783649</t>
        </is>
      </c>
    </row>
    <row r="1230">
      <c r="A1230" t="inlineStr">
        <is>
          <t>No</t>
        </is>
      </c>
      <c r="B1230" t="inlineStr">
        <is>
          <t>QD571 .M27</t>
        </is>
      </c>
      <c r="C1230" t="inlineStr">
        <is>
          <t>0                      QD 0571000M  27</t>
        </is>
      </c>
      <c r="D1230" t="inlineStr">
        <is>
          <t>Tables of experimental dipole moments.</t>
        </is>
      </c>
      <c r="F1230" t="inlineStr">
        <is>
          <t>No</t>
        </is>
      </c>
      <c r="G1230" t="inlineStr">
        <is>
          <t>1</t>
        </is>
      </c>
      <c r="H1230" t="inlineStr">
        <is>
          <t>No</t>
        </is>
      </c>
      <c r="I1230" t="inlineStr">
        <is>
          <t>No</t>
        </is>
      </c>
      <c r="J1230" t="inlineStr">
        <is>
          <t>0</t>
        </is>
      </c>
      <c r="K1230" t="inlineStr">
        <is>
          <t>McClellan, Aubrey L. (Aubrey Lester), 1923-</t>
        </is>
      </c>
      <c r="L1230" t="inlineStr">
        <is>
          <t>San Francisco, W.H. Freeman [1963]</t>
        </is>
      </c>
      <c r="M1230" t="inlineStr">
        <is>
          <t>1963</t>
        </is>
      </c>
      <c r="O1230" t="inlineStr">
        <is>
          <t>eng</t>
        </is>
      </c>
      <c r="P1230" t="inlineStr">
        <is>
          <t>cau</t>
        </is>
      </c>
      <c r="R1230" t="inlineStr">
        <is>
          <t xml:space="preserve">QD </t>
        </is>
      </c>
      <c r="S1230" t="n">
        <v>3</v>
      </c>
      <c r="T1230" t="n">
        <v>3</v>
      </c>
      <c r="U1230" t="inlineStr">
        <is>
          <t>2000-03-28</t>
        </is>
      </c>
      <c r="V1230" t="inlineStr">
        <is>
          <t>2000-03-28</t>
        </is>
      </c>
      <c r="W1230" t="inlineStr">
        <is>
          <t>1997-06-19</t>
        </is>
      </c>
      <c r="X1230" t="inlineStr">
        <is>
          <t>1997-06-19</t>
        </is>
      </c>
      <c r="Y1230" t="n">
        <v>612</v>
      </c>
      <c r="Z1230" t="n">
        <v>509</v>
      </c>
      <c r="AA1230" t="n">
        <v>523</v>
      </c>
      <c r="AB1230" t="n">
        <v>4</v>
      </c>
      <c r="AC1230" t="n">
        <v>4</v>
      </c>
      <c r="AD1230" t="n">
        <v>20</v>
      </c>
      <c r="AE1230" t="n">
        <v>21</v>
      </c>
      <c r="AF1230" t="n">
        <v>6</v>
      </c>
      <c r="AG1230" t="n">
        <v>6</v>
      </c>
      <c r="AH1230" t="n">
        <v>5</v>
      </c>
      <c r="AI1230" t="n">
        <v>6</v>
      </c>
      <c r="AJ1230" t="n">
        <v>10</v>
      </c>
      <c r="AK1230" t="n">
        <v>11</v>
      </c>
      <c r="AL1230" t="n">
        <v>3</v>
      </c>
      <c r="AM1230" t="n">
        <v>3</v>
      </c>
      <c r="AN1230" t="n">
        <v>0</v>
      </c>
      <c r="AO1230" t="n">
        <v>0</v>
      </c>
      <c r="AP1230" t="inlineStr">
        <is>
          <t>No</t>
        </is>
      </c>
      <c r="AQ1230" t="inlineStr">
        <is>
          <t>No</t>
        </is>
      </c>
      <c r="AS1230">
        <f>HYPERLINK("https://creighton-primo.hosted.exlibrisgroup.com/primo-explore/search?tab=default_tab&amp;search_scope=EVERYTHING&amp;vid=01CRU&amp;lang=en_US&amp;offset=0&amp;query=any,contains,991002749739702656","Catalog Record")</f>
        <v/>
      </c>
      <c r="AT1230">
        <f>HYPERLINK("http://www.worldcat.org/oclc/424057","WorldCat Record")</f>
        <v/>
      </c>
      <c r="AU1230" t="inlineStr">
        <is>
          <t>288437588:eng</t>
        </is>
      </c>
      <c r="AV1230" t="inlineStr">
        <is>
          <t>424057</t>
        </is>
      </c>
      <c r="AW1230" t="inlineStr">
        <is>
          <t>991002749739702656</t>
        </is>
      </c>
      <c r="AX1230" t="inlineStr">
        <is>
          <t>991002749739702656</t>
        </is>
      </c>
      <c r="AY1230" t="inlineStr">
        <is>
          <t>2268617910002656</t>
        </is>
      </c>
      <c r="AZ1230" t="inlineStr">
        <is>
          <t>BOOK</t>
        </is>
      </c>
      <c r="BC1230" t="inlineStr">
        <is>
          <t>32285002809472</t>
        </is>
      </c>
      <c r="BD1230" t="inlineStr">
        <is>
          <t>893780173</t>
        </is>
      </c>
    </row>
    <row r="1231">
      <c r="A1231" t="inlineStr">
        <is>
          <t>No</t>
        </is>
      </c>
      <c r="B1231" t="inlineStr">
        <is>
          <t>QD591 .P6</t>
        </is>
      </c>
      <c r="C1231" t="inlineStr">
        <is>
          <t>0                      QD 0591000P  6</t>
        </is>
      </c>
      <c r="D1231" t="inlineStr">
        <is>
          <t>High-resolution nuclear magnetic resonance / [by] J. A. Pople, W. G. Schneider, and H. J. Bernstein.</t>
        </is>
      </c>
      <c r="F1231" t="inlineStr">
        <is>
          <t>No</t>
        </is>
      </c>
      <c r="G1231" t="inlineStr">
        <is>
          <t>1</t>
        </is>
      </c>
      <c r="H1231" t="inlineStr">
        <is>
          <t>No</t>
        </is>
      </c>
      <c r="I1231" t="inlineStr">
        <is>
          <t>No</t>
        </is>
      </c>
      <c r="J1231" t="inlineStr">
        <is>
          <t>0</t>
        </is>
      </c>
      <c r="K1231" t="inlineStr">
        <is>
          <t>Pople, John A., 1925-2004.</t>
        </is>
      </c>
      <c r="L1231" t="inlineStr">
        <is>
          <t>New York : McGraw-Hill, 1959.</t>
        </is>
      </c>
      <c r="M1231" t="inlineStr">
        <is>
          <t>1959</t>
        </is>
      </c>
      <c r="O1231" t="inlineStr">
        <is>
          <t>eng</t>
        </is>
      </c>
      <c r="P1231" t="inlineStr">
        <is>
          <t>nyu</t>
        </is>
      </c>
      <c r="Q1231" t="inlineStr">
        <is>
          <t>McGraw-Hill series in advanced chemistry</t>
        </is>
      </c>
      <c r="R1231" t="inlineStr">
        <is>
          <t xml:space="preserve">QD </t>
        </is>
      </c>
      <c r="S1231" t="n">
        <v>6</v>
      </c>
      <c r="T1231" t="n">
        <v>6</v>
      </c>
      <c r="U1231" t="inlineStr">
        <is>
          <t>2005-03-30</t>
        </is>
      </c>
      <c r="V1231" t="inlineStr">
        <is>
          <t>2005-03-30</t>
        </is>
      </c>
      <c r="W1231" t="inlineStr">
        <is>
          <t>1993-07-23</t>
        </is>
      </c>
      <c r="X1231" t="inlineStr">
        <is>
          <t>1993-07-23</t>
        </is>
      </c>
      <c r="Y1231" t="n">
        <v>792</v>
      </c>
      <c r="Z1231" t="n">
        <v>599</v>
      </c>
      <c r="AA1231" t="n">
        <v>602</v>
      </c>
      <c r="AB1231" t="n">
        <v>7</v>
      </c>
      <c r="AC1231" t="n">
        <v>7</v>
      </c>
      <c r="AD1231" t="n">
        <v>30</v>
      </c>
      <c r="AE1231" t="n">
        <v>30</v>
      </c>
      <c r="AF1231" t="n">
        <v>11</v>
      </c>
      <c r="AG1231" t="n">
        <v>11</v>
      </c>
      <c r="AH1231" t="n">
        <v>6</v>
      </c>
      <c r="AI1231" t="n">
        <v>6</v>
      </c>
      <c r="AJ1231" t="n">
        <v>14</v>
      </c>
      <c r="AK1231" t="n">
        <v>14</v>
      </c>
      <c r="AL1231" t="n">
        <v>6</v>
      </c>
      <c r="AM1231" t="n">
        <v>6</v>
      </c>
      <c r="AN1231" t="n">
        <v>0</v>
      </c>
      <c r="AO1231" t="n">
        <v>0</v>
      </c>
      <c r="AP1231" t="inlineStr">
        <is>
          <t>No</t>
        </is>
      </c>
      <c r="AQ1231" t="inlineStr">
        <is>
          <t>Yes</t>
        </is>
      </c>
      <c r="AR1231">
        <f>HYPERLINK("http://catalog.hathitrust.org/Record/001494992","HathiTrust Record")</f>
        <v/>
      </c>
      <c r="AS1231">
        <f>HYPERLINK("https://creighton-primo.hosted.exlibrisgroup.com/primo-explore/search?tab=default_tab&amp;search_scope=EVERYTHING&amp;vid=01CRU&amp;lang=en_US&amp;offset=0&amp;query=any,contains,991002847609702656","Catalog Record")</f>
        <v/>
      </c>
      <c r="AT1231">
        <f>HYPERLINK("http://www.worldcat.org/oclc/485276","WorldCat Record")</f>
        <v/>
      </c>
      <c r="AU1231" t="inlineStr">
        <is>
          <t>768623295:eng</t>
        </is>
      </c>
      <c r="AV1231" t="inlineStr">
        <is>
          <t>485276</t>
        </is>
      </c>
      <c r="AW1231" t="inlineStr">
        <is>
          <t>991002847609702656</t>
        </is>
      </c>
      <c r="AX1231" t="inlineStr">
        <is>
          <t>991002847609702656</t>
        </is>
      </c>
      <c r="AY1231" t="inlineStr">
        <is>
          <t>2257545180002656</t>
        </is>
      </c>
      <c r="AZ1231" t="inlineStr">
        <is>
          <t>BOOK</t>
        </is>
      </c>
      <c r="BC1231" t="inlineStr">
        <is>
          <t>32285001724730</t>
        </is>
      </c>
      <c r="BD1231" t="inlineStr">
        <is>
          <t>893317325</t>
        </is>
      </c>
    </row>
    <row r="1232">
      <c r="A1232" t="inlineStr">
        <is>
          <t>No</t>
        </is>
      </c>
      <c r="B1232" t="inlineStr">
        <is>
          <t>QD591 .R6</t>
        </is>
      </c>
      <c r="C1232" t="inlineStr">
        <is>
          <t>0                      QD 0591000R  6</t>
        </is>
      </c>
      <c r="D1232" t="inlineStr">
        <is>
          <t>Nuclear magnetic resonance : applications to organic chemistry.</t>
        </is>
      </c>
      <c r="F1232" t="inlineStr">
        <is>
          <t>No</t>
        </is>
      </c>
      <c r="G1232" t="inlineStr">
        <is>
          <t>1</t>
        </is>
      </c>
      <c r="H1232" t="inlineStr">
        <is>
          <t>No</t>
        </is>
      </c>
      <c r="I1232" t="inlineStr">
        <is>
          <t>No</t>
        </is>
      </c>
      <c r="J1232" t="inlineStr">
        <is>
          <t>0</t>
        </is>
      </c>
      <c r="K1232" t="inlineStr">
        <is>
          <t>Roberts, John D., 1918-2016.</t>
        </is>
      </c>
      <c r="L1232" t="inlineStr">
        <is>
          <t>New York : McGraw-Hill, 1959.</t>
        </is>
      </c>
      <c r="M1232" t="inlineStr">
        <is>
          <t>1959</t>
        </is>
      </c>
      <c r="O1232" t="inlineStr">
        <is>
          <t>eng</t>
        </is>
      </c>
      <c r="P1232" t="inlineStr">
        <is>
          <t>nyu</t>
        </is>
      </c>
      <c r="Q1232" t="inlineStr">
        <is>
          <t>The McGraw-Hill series in advanced chemistry</t>
        </is>
      </c>
      <c r="R1232" t="inlineStr">
        <is>
          <t xml:space="preserve">QD </t>
        </is>
      </c>
      <c r="S1232" t="n">
        <v>3</v>
      </c>
      <c r="T1232" t="n">
        <v>3</v>
      </c>
      <c r="U1232" t="inlineStr">
        <is>
          <t>1995-04-22</t>
        </is>
      </c>
      <c r="V1232" t="inlineStr">
        <is>
          <t>1995-04-22</t>
        </is>
      </c>
      <c r="W1232" t="inlineStr">
        <is>
          <t>1993-07-23</t>
        </is>
      </c>
      <c r="X1232" t="inlineStr">
        <is>
          <t>1993-07-23</t>
        </is>
      </c>
      <c r="Y1232" t="n">
        <v>770</v>
      </c>
      <c r="Z1232" t="n">
        <v>605</v>
      </c>
      <c r="AA1232" t="n">
        <v>609</v>
      </c>
      <c r="AB1232" t="n">
        <v>5</v>
      </c>
      <c r="AC1232" t="n">
        <v>5</v>
      </c>
      <c r="AD1232" t="n">
        <v>24</v>
      </c>
      <c r="AE1232" t="n">
        <v>24</v>
      </c>
      <c r="AF1232" t="n">
        <v>9</v>
      </c>
      <c r="AG1232" t="n">
        <v>9</v>
      </c>
      <c r="AH1232" t="n">
        <v>4</v>
      </c>
      <c r="AI1232" t="n">
        <v>4</v>
      </c>
      <c r="AJ1232" t="n">
        <v>11</v>
      </c>
      <c r="AK1232" t="n">
        <v>11</v>
      </c>
      <c r="AL1232" t="n">
        <v>4</v>
      </c>
      <c r="AM1232" t="n">
        <v>4</v>
      </c>
      <c r="AN1232" t="n">
        <v>0</v>
      </c>
      <c r="AO1232" t="n">
        <v>0</v>
      </c>
      <c r="AP1232" t="inlineStr">
        <is>
          <t>Yes</t>
        </is>
      </c>
      <c r="AQ1232" t="inlineStr">
        <is>
          <t>No</t>
        </is>
      </c>
      <c r="AR1232">
        <f>HYPERLINK("http://catalog.hathitrust.org/Record/001035297","HathiTrust Record")</f>
        <v/>
      </c>
      <c r="AS1232">
        <f>HYPERLINK("https://creighton-primo.hosted.exlibrisgroup.com/primo-explore/search?tab=default_tab&amp;search_scope=EVERYTHING&amp;vid=01CRU&amp;lang=en_US&amp;offset=0&amp;query=any,contains,991002964899702656","Catalog Record")</f>
        <v/>
      </c>
      <c r="AT1232">
        <f>HYPERLINK("http://www.worldcat.org/oclc/545465","WorldCat Record")</f>
        <v/>
      </c>
      <c r="AU1232" t="inlineStr">
        <is>
          <t>376933709:eng</t>
        </is>
      </c>
      <c r="AV1232" t="inlineStr">
        <is>
          <t>545465</t>
        </is>
      </c>
      <c r="AW1232" t="inlineStr">
        <is>
          <t>991002964899702656</t>
        </is>
      </c>
      <c r="AX1232" t="inlineStr">
        <is>
          <t>991002964899702656</t>
        </is>
      </c>
      <c r="AY1232" t="inlineStr">
        <is>
          <t>2264457130002656</t>
        </is>
      </c>
      <c r="AZ1232" t="inlineStr">
        <is>
          <t>BOOK</t>
        </is>
      </c>
      <c r="BC1232" t="inlineStr">
        <is>
          <t>32285001724722</t>
        </is>
      </c>
      <c r="BD1232" t="inlineStr">
        <is>
          <t>893262568</t>
        </is>
      </c>
    </row>
    <row r="1233">
      <c r="A1233" t="inlineStr">
        <is>
          <t>No</t>
        </is>
      </c>
      <c r="B1233" t="inlineStr">
        <is>
          <t>QD591 .S45 1956</t>
        </is>
      </c>
      <c r="C1233" t="inlineStr">
        <is>
          <t>0                      QD 0591000S  45          1956</t>
        </is>
      </c>
      <c r="D1233" t="inlineStr">
        <is>
          <t>Magnetochemistry.</t>
        </is>
      </c>
      <c r="F1233" t="inlineStr">
        <is>
          <t>No</t>
        </is>
      </c>
      <c r="G1233" t="inlineStr">
        <is>
          <t>1</t>
        </is>
      </c>
      <c r="H1233" t="inlineStr">
        <is>
          <t>No</t>
        </is>
      </c>
      <c r="I1233" t="inlineStr">
        <is>
          <t>No</t>
        </is>
      </c>
      <c r="J1233" t="inlineStr">
        <is>
          <t>0</t>
        </is>
      </c>
      <c r="K1233" t="inlineStr">
        <is>
          <t>Selwood, P. W. (Pierce Wilson), 1905-1986.</t>
        </is>
      </c>
      <c r="L1233" t="inlineStr">
        <is>
          <t>New York : Interscience Publishers, 1956.</t>
        </is>
      </c>
      <c r="M1233" t="inlineStr">
        <is>
          <t>1956</t>
        </is>
      </c>
      <c r="N1233" t="inlineStr">
        <is>
          <t>2d ed. / completely rev. and rewritten.</t>
        </is>
      </c>
      <c r="O1233" t="inlineStr">
        <is>
          <t>eng</t>
        </is>
      </c>
      <c r="P1233" t="inlineStr">
        <is>
          <t>nyu</t>
        </is>
      </c>
      <c r="R1233" t="inlineStr">
        <is>
          <t xml:space="preserve">QD </t>
        </is>
      </c>
      <c r="S1233" t="n">
        <v>2</v>
      </c>
      <c r="T1233" t="n">
        <v>2</v>
      </c>
      <c r="U1233" t="inlineStr">
        <is>
          <t>2000-11-17</t>
        </is>
      </c>
      <c r="V1233" t="inlineStr">
        <is>
          <t>2000-11-17</t>
        </is>
      </c>
      <c r="W1233" t="inlineStr">
        <is>
          <t>1993-07-23</t>
        </is>
      </c>
      <c r="X1233" t="inlineStr">
        <is>
          <t>1993-07-23</t>
        </is>
      </c>
      <c r="Y1233" t="n">
        <v>439</v>
      </c>
      <c r="Z1233" t="n">
        <v>361</v>
      </c>
      <c r="AA1233" t="n">
        <v>455</v>
      </c>
      <c r="AB1233" t="n">
        <v>4</v>
      </c>
      <c r="AC1233" t="n">
        <v>4</v>
      </c>
      <c r="AD1233" t="n">
        <v>18</v>
      </c>
      <c r="AE1233" t="n">
        <v>22</v>
      </c>
      <c r="AF1233" t="n">
        <v>3</v>
      </c>
      <c r="AG1233" t="n">
        <v>5</v>
      </c>
      <c r="AH1233" t="n">
        <v>4</v>
      </c>
      <c r="AI1233" t="n">
        <v>5</v>
      </c>
      <c r="AJ1233" t="n">
        <v>11</v>
      </c>
      <c r="AK1233" t="n">
        <v>15</v>
      </c>
      <c r="AL1233" t="n">
        <v>3</v>
      </c>
      <c r="AM1233" t="n">
        <v>3</v>
      </c>
      <c r="AN1233" t="n">
        <v>0</v>
      </c>
      <c r="AO1233" t="n">
        <v>0</v>
      </c>
      <c r="AP1233" t="inlineStr">
        <is>
          <t>Yes</t>
        </is>
      </c>
      <c r="AQ1233" t="inlineStr">
        <is>
          <t>No</t>
        </is>
      </c>
      <c r="AR1233">
        <f>HYPERLINK("http://catalog.hathitrust.org/Record/001035299","HathiTrust Record")</f>
        <v/>
      </c>
      <c r="AS1233">
        <f>HYPERLINK("https://creighton-primo.hosted.exlibrisgroup.com/primo-explore/search?tab=default_tab&amp;search_scope=EVERYTHING&amp;vid=01CRU&amp;lang=en_US&amp;offset=0&amp;query=any,contains,991003574179702656","Catalog Record")</f>
        <v/>
      </c>
      <c r="AT1233">
        <f>HYPERLINK("http://www.worldcat.org/oclc/1150843","WorldCat Record")</f>
        <v/>
      </c>
      <c r="AU1233" t="inlineStr">
        <is>
          <t>2079883:eng</t>
        </is>
      </c>
      <c r="AV1233" t="inlineStr">
        <is>
          <t>1150843</t>
        </is>
      </c>
      <c r="AW1233" t="inlineStr">
        <is>
          <t>991003574179702656</t>
        </is>
      </c>
      <c r="AX1233" t="inlineStr">
        <is>
          <t>991003574179702656</t>
        </is>
      </c>
      <c r="AY1233" t="inlineStr">
        <is>
          <t>2268385050002656</t>
        </is>
      </c>
      <c r="AZ1233" t="inlineStr">
        <is>
          <t>BOOK</t>
        </is>
      </c>
      <c r="BC1233" t="inlineStr">
        <is>
          <t>32285001724714</t>
        </is>
      </c>
      <c r="BD1233" t="inlineStr">
        <is>
          <t>893441442</t>
        </is>
      </c>
    </row>
    <row r="1234">
      <c r="A1234" t="inlineStr">
        <is>
          <t>No</t>
        </is>
      </c>
      <c r="B1234" t="inlineStr">
        <is>
          <t>QD6 .R43 2006</t>
        </is>
      </c>
      <c r="C1234" t="inlineStr">
        <is>
          <t>0                      QD 0006000R  43          2006</t>
        </is>
      </c>
      <c r="D1234" t="inlineStr">
        <is>
          <t>Shifting and rearranging : physical methods and the transformation of modern chemistry / Carsten Reinhardt.</t>
        </is>
      </c>
      <c r="F1234" t="inlineStr">
        <is>
          <t>No</t>
        </is>
      </c>
      <c r="G1234" t="inlineStr">
        <is>
          <t>1</t>
        </is>
      </c>
      <c r="H1234" t="inlineStr">
        <is>
          <t>No</t>
        </is>
      </c>
      <c r="I1234" t="inlineStr">
        <is>
          <t>No</t>
        </is>
      </c>
      <c r="J1234" t="inlineStr">
        <is>
          <t>0</t>
        </is>
      </c>
      <c r="K1234" t="inlineStr">
        <is>
          <t>Reinhardt, Carsten.</t>
        </is>
      </c>
      <c r="L1234" t="inlineStr">
        <is>
          <t>Sagamore Beach, MA : Science History Publications/USA, 2006.</t>
        </is>
      </c>
      <c r="M1234" t="inlineStr">
        <is>
          <t>2006</t>
        </is>
      </c>
      <c r="O1234" t="inlineStr">
        <is>
          <t>eng</t>
        </is>
      </c>
      <c r="P1234" t="inlineStr">
        <is>
          <t>mau</t>
        </is>
      </c>
      <c r="R1234" t="inlineStr">
        <is>
          <t xml:space="preserve">QD </t>
        </is>
      </c>
      <c r="S1234" t="n">
        <v>1</v>
      </c>
      <c r="T1234" t="n">
        <v>1</v>
      </c>
      <c r="U1234" t="inlineStr">
        <is>
          <t>2007-04-02</t>
        </is>
      </c>
      <c r="V1234" t="inlineStr">
        <is>
          <t>2007-04-02</t>
        </is>
      </c>
      <c r="W1234" t="inlineStr">
        <is>
          <t>2007-04-02</t>
        </is>
      </c>
      <c r="X1234" t="inlineStr">
        <is>
          <t>2007-04-02</t>
        </is>
      </c>
      <c r="Y1234" t="n">
        <v>256</v>
      </c>
      <c r="Z1234" t="n">
        <v>208</v>
      </c>
      <c r="AA1234" t="n">
        <v>208</v>
      </c>
      <c r="AB1234" t="n">
        <v>3</v>
      </c>
      <c r="AC1234" t="n">
        <v>3</v>
      </c>
      <c r="AD1234" t="n">
        <v>10</v>
      </c>
      <c r="AE1234" t="n">
        <v>10</v>
      </c>
      <c r="AF1234" t="n">
        <v>4</v>
      </c>
      <c r="AG1234" t="n">
        <v>4</v>
      </c>
      <c r="AH1234" t="n">
        <v>1</v>
      </c>
      <c r="AI1234" t="n">
        <v>1</v>
      </c>
      <c r="AJ1234" t="n">
        <v>3</v>
      </c>
      <c r="AK1234" t="n">
        <v>3</v>
      </c>
      <c r="AL1234" t="n">
        <v>2</v>
      </c>
      <c r="AM1234" t="n">
        <v>2</v>
      </c>
      <c r="AN1234" t="n">
        <v>0</v>
      </c>
      <c r="AO1234" t="n">
        <v>0</v>
      </c>
      <c r="AP1234" t="inlineStr">
        <is>
          <t>No</t>
        </is>
      </c>
      <c r="AQ1234" t="inlineStr">
        <is>
          <t>No</t>
        </is>
      </c>
      <c r="AS1234">
        <f>HYPERLINK("https://creighton-primo.hosted.exlibrisgroup.com/primo-explore/search?tab=default_tab&amp;search_scope=EVERYTHING&amp;vid=01CRU&amp;lang=en_US&amp;offset=0&amp;query=any,contains,991005048539702656","Catalog Record")</f>
        <v/>
      </c>
      <c r="AT1234">
        <f>HYPERLINK("http://www.worldcat.org/oclc/64592209","WorldCat Record")</f>
        <v/>
      </c>
      <c r="AU1234" t="inlineStr">
        <is>
          <t>368407560:eng</t>
        </is>
      </c>
      <c r="AV1234" t="inlineStr">
        <is>
          <t>64592209</t>
        </is>
      </c>
      <c r="AW1234" t="inlineStr">
        <is>
          <t>991005048539702656</t>
        </is>
      </c>
      <c r="AX1234" t="inlineStr">
        <is>
          <t>991005048539702656</t>
        </is>
      </c>
      <c r="AY1234" t="inlineStr">
        <is>
          <t>2266155700002656</t>
        </is>
      </c>
      <c r="AZ1234" t="inlineStr">
        <is>
          <t>BOOK</t>
        </is>
      </c>
      <c r="BB1234" t="inlineStr">
        <is>
          <t>9780881353549</t>
        </is>
      </c>
      <c r="BC1234" t="inlineStr">
        <is>
          <t>32285005284905</t>
        </is>
      </c>
      <c r="BD1234" t="inlineStr">
        <is>
          <t>893782946</t>
        </is>
      </c>
    </row>
    <row r="1235">
      <c r="A1235" t="inlineStr">
        <is>
          <t>No</t>
        </is>
      </c>
      <c r="B1235" t="inlineStr">
        <is>
          <t>QD6 .S34 2008</t>
        </is>
      </c>
      <c r="C1235" t="inlineStr">
        <is>
          <t>0                      QD 0006000S  34          2008</t>
        </is>
      </c>
      <c r="D1235" t="inlineStr">
        <is>
          <t>Collected papers on philosophy of chemistry / Eric R. Scerri.</t>
        </is>
      </c>
      <c r="F1235" t="inlineStr">
        <is>
          <t>No</t>
        </is>
      </c>
      <c r="G1235" t="inlineStr">
        <is>
          <t>1</t>
        </is>
      </c>
      <c r="H1235" t="inlineStr">
        <is>
          <t>No</t>
        </is>
      </c>
      <c r="I1235" t="inlineStr">
        <is>
          <t>No</t>
        </is>
      </c>
      <c r="J1235" t="inlineStr">
        <is>
          <t>0</t>
        </is>
      </c>
      <c r="K1235" t="inlineStr">
        <is>
          <t>Scerri, Eric R.</t>
        </is>
      </c>
      <c r="L1235" t="inlineStr">
        <is>
          <t>London : Imperial College Press, c2008.</t>
        </is>
      </c>
      <c r="M1235" t="inlineStr">
        <is>
          <t>2008</t>
        </is>
      </c>
      <c r="O1235" t="inlineStr">
        <is>
          <t>eng</t>
        </is>
      </c>
      <c r="P1235" t="inlineStr">
        <is>
          <t>enk</t>
        </is>
      </c>
      <c r="R1235" t="inlineStr">
        <is>
          <t xml:space="preserve">QD </t>
        </is>
      </c>
      <c r="S1235" t="n">
        <v>1</v>
      </c>
      <c r="T1235" t="n">
        <v>1</v>
      </c>
      <c r="U1235" t="inlineStr">
        <is>
          <t>2009-01-21</t>
        </is>
      </c>
      <c r="V1235" t="inlineStr">
        <is>
          <t>2009-01-21</t>
        </is>
      </c>
      <c r="W1235" t="inlineStr">
        <is>
          <t>2009-01-21</t>
        </is>
      </c>
      <c r="X1235" t="inlineStr">
        <is>
          <t>2009-01-21</t>
        </is>
      </c>
      <c r="Y1235" t="n">
        <v>151</v>
      </c>
      <c r="Z1235" t="n">
        <v>84</v>
      </c>
      <c r="AA1235" t="n">
        <v>743</v>
      </c>
      <c r="AB1235" t="n">
        <v>2</v>
      </c>
      <c r="AC1235" t="n">
        <v>13</v>
      </c>
      <c r="AD1235" t="n">
        <v>2</v>
      </c>
      <c r="AE1235" t="n">
        <v>28</v>
      </c>
      <c r="AF1235" t="n">
        <v>1</v>
      </c>
      <c r="AG1235" t="n">
        <v>8</v>
      </c>
      <c r="AH1235" t="n">
        <v>0</v>
      </c>
      <c r="AI1235" t="n">
        <v>5</v>
      </c>
      <c r="AJ1235" t="n">
        <v>0</v>
      </c>
      <c r="AK1235" t="n">
        <v>7</v>
      </c>
      <c r="AL1235" t="n">
        <v>1</v>
      </c>
      <c r="AM1235" t="n">
        <v>11</v>
      </c>
      <c r="AN1235" t="n">
        <v>0</v>
      </c>
      <c r="AO1235" t="n">
        <v>1</v>
      </c>
      <c r="AP1235" t="inlineStr">
        <is>
          <t>No</t>
        </is>
      </c>
      <c r="AQ1235" t="inlineStr">
        <is>
          <t>No</t>
        </is>
      </c>
      <c r="AS1235">
        <f>HYPERLINK("https://creighton-primo.hosted.exlibrisgroup.com/primo-explore/search?tab=default_tab&amp;search_scope=EVERYTHING&amp;vid=01CRU&amp;lang=en_US&amp;offset=0&amp;query=any,contains,991005289079702656","Catalog Record")</f>
        <v/>
      </c>
      <c r="AT1235">
        <f>HYPERLINK("http://www.worldcat.org/oclc/225820434","WorldCat Record")</f>
        <v/>
      </c>
      <c r="AU1235" t="inlineStr">
        <is>
          <t>135790154:eng</t>
        </is>
      </c>
      <c r="AV1235" t="inlineStr">
        <is>
          <t>225820434</t>
        </is>
      </c>
      <c r="AW1235" t="inlineStr">
        <is>
          <t>991005289079702656</t>
        </is>
      </c>
      <c r="AX1235" t="inlineStr">
        <is>
          <t>991005289079702656</t>
        </is>
      </c>
      <c r="AY1235" t="inlineStr">
        <is>
          <t>2272757530002656</t>
        </is>
      </c>
      <c r="AZ1235" t="inlineStr">
        <is>
          <t>BOOK</t>
        </is>
      </c>
      <c r="BB1235" t="inlineStr">
        <is>
          <t>9781848161375</t>
        </is>
      </c>
      <c r="BC1235" t="inlineStr">
        <is>
          <t>32285005500086</t>
        </is>
      </c>
      <c r="BD1235" t="inlineStr">
        <is>
          <t>893808140</t>
        </is>
      </c>
    </row>
    <row r="1236">
      <c r="A1236" t="inlineStr">
        <is>
          <t>No</t>
        </is>
      </c>
      <c r="B1236" t="inlineStr">
        <is>
          <t>QD601 .C4</t>
        </is>
      </c>
      <c r="C1236" t="inlineStr">
        <is>
          <t>0                      QD 0601000C  4</t>
        </is>
      </c>
      <c r="D1236" t="inlineStr">
        <is>
          <t>Nuclei and radioactivity [by] Gregory R. Choppin.</t>
        </is>
      </c>
      <c r="F1236" t="inlineStr">
        <is>
          <t>No</t>
        </is>
      </c>
      <c r="G1236" t="inlineStr">
        <is>
          <t>1</t>
        </is>
      </c>
      <c r="H1236" t="inlineStr">
        <is>
          <t>No</t>
        </is>
      </c>
      <c r="I1236" t="inlineStr">
        <is>
          <t>No</t>
        </is>
      </c>
      <c r="J1236" t="inlineStr">
        <is>
          <t>0</t>
        </is>
      </c>
      <c r="K1236" t="inlineStr">
        <is>
          <t>Choppin, Gregory R.</t>
        </is>
      </c>
      <c r="L1236" t="inlineStr">
        <is>
          <t>New York, W. A. Benjamin, 1964.</t>
        </is>
      </c>
      <c r="M1236" t="inlineStr">
        <is>
          <t>1964</t>
        </is>
      </c>
      <c r="O1236" t="inlineStr">
        <is>
          <t>eng</t>
        </is>
      </c>
      <c r="P1236" t="inlineStr">
        <is>
          <t>nyu</t>
        </is>
      </c>
      <c r="Q1236" t="inlineStr">
        <is>
          <t>The General chemistry monograph series</t>
        </is>
      </c>
      <c r="R1236" t="inlineStr">
        <is>
          <t xml:space="preserve">QD </t>
        </is>
      </c>
      <c r="S1236" t="n">
        <v>1</v>
      </c>
      <c r="T1236" t="n">
        <v>1</v>
      </c>
      <c r="U1236" t="inlineStr">
        <is>
          <t>2007-12-02</t>
        </is>
      </c>
      <c r="V1236" t="inlineStr">
        <is>
          <t>2007-12-02</t>
        </is>
      </c>
      <c r="W1236" t="inlineStr">
        <is>
          <t>1997-06-19</t>
        </is>
      </c>
      <c r="X1236" t="inlineStr">
        <is>
          <t>1997-06-19</t>
        </is>
      </c>
      <c r="Y1236" t="n">
        <v>571</v>
      </c>
      <c r="Z1236" t="n">
        <v>459</v>
      </c>
      <c r="AA1236" t="n">
        <v>461</v>
      </c>
      <c r="AB1236" t="n">
        <v>5</v>
      </c>
      <c r="AC1236" t="n">
        <v>5</v>
      </c>
      <c r="AD1236" t="n">
        <v>19</v>
      </c>
      <c r="AE1236" t="n">
        <v>19</v>
      </c>
      <c r="AF1236" t="n">
        <v>6</v>
      </c>
      <c r="AG1236" t="n">
        <v>6</v>
      </c>
      <c r="AH1236" t="n">
        <v>4</v>
      </c>
      <c r="AI1236" t="n">
        <v>4</v>
      </c>
      <c r="AJ1236" t="n">
        <v>10</v>
      </c>
      <c r="AK1236" t="n">
        <v>10</v>
      </c>
      <c r="AL1236" t="n">
        <v>4</v>
      </c>
      <c r="AM1236" t="n">
        <v>4</v>
      </c>
      <c r="AN1236" t="n">
        <v>0</v>
      </c>
      <c r="AO1236" t="n">
        <v>0</v>
      </c>
      <c r="AP1236" t="inlineStr">
        <is>
          <t>No</t>
        </is>
      </c>
      <c r="AQ1236" t="inlineStr">
        <is>
          <t>Yes</t>
        </is>
      </c>
      <c r="AR1236">
        <f>HYPERLINK("http://catalog.hathitrust.org/Record/001114382","HathiTrust Record")</f>
        <v/>
      </c>
      <c r="AS1236">
        <f>HYPERLINK("https://creighton-primo.hosted.exlibrisgroup.com/primo-explore/search?tab=default_tab&amp;search_scope=EVERYTHING&amp;vid=01CRU&amp;lang=en_US&amp;offset=0&amp;query=any,contains,991002974079702656","Catalog Record")</f>
        <v/>
      </c>
      <c r="AT1236">
        <f>HYPERLINK("http://www.worldcat.org/oclc/550988","WorldCat Record")</f>
        <v/>
      </c>
      <c r="AU1236" t="inlineStr">
        <is>
          <t>1596383:eng</t>
        </is>
      </c>
      <c r="AV1236" t="inlineStr">
        <is>
          <t>550988</t>
        </is>
      </c>
      <c r="AW1236" t="inlineStr">
        <is>
          <t>991002974079702656</t>
        </is>
      </c>
      <c r="AX1236" t="inlineStr">
        <is>
          <t>991002974079702656</t>
        </is>
      </c>
      <c r="AY1236" t="inlineStr">
        <is>
          <t>2258148270002656</t>
        </is>
      </c>
      <c r="AZ1236" t="inlineStr">
        <is>
          <t>BOOK</t>
        </is>
      </c>
      <c r="BC1236" t="inlineStr">
        <is>
          <t>32285002809522</t>
        </is>
      </c>
      <c r="BD1236" t="inlineStr">
        <is>
          <t>893251853</t>
        </is>
      </c>
    </row>
    <row r="1237">
      <c r="A1237" t="inlineStr">
        <is>
          <t>No</t>
        </is>
      </c>
      <c r="B1237" t="inlineStr">
        <is>
          <t>QD601 .E45 1941</t>
        </is>
      </c>
      <c r="C1237" t="inlineStr">
        <is>
          <t>0                      QD 0601000E  45          1941</t>
        </is>
      </c>
      <c r="D1237" t="inlineStr">
        <is>
          <t>The chemical action of ultraviolet rays, by Carleton Ellis and Alfred A. Wells.</t>
        </is>
      </c>
      <c r="F1237" t="inlineStr">
        <is>
          <t>No</t>
        </is>
      </c>
      <c r="G1237" t="inlineStr">
        <is>
          <t>1</t>
        </is>
      </c>
      <c r="H1237" t="inlineStr">
        <is>
          <t>No</t>
        </is>
      </c>
      <c r="I1237" t="inlineStr">
        <is>
          <t>No</t>
        </is>
      </c>
      <c r="J1237" t="inlineStr">
        <is>
          <t>0</t>
        </is>
      </c>
      <c r="K1237" t="inlineStr">
        <is>
          <t>Ellis, Carleton, 1876-1941.</t>
        </is>
      </c>
      <c r="L1237" t="inlineStr">
        <is>
          <t>New York, Reinhold publishing corporation, 1941.</t>
        </is>
      </c>
      <c r="M1237" t="inlineStr">
        <is>
          <t>1941</t>
        </is>
      </c>
      <c r="N1237" t="inlineStr">
        <is>
          <t>Rev. and enl. ed. by Francis F. Heyroth ...</t>
        </is>
      </c>
      <c r="O1237" t="inlineStr">
        <is>
          <t>eng</t>
        </is>
      </c>
      <c r="P1237" t="inlineStr">
        <is>
          <t>nyu</t>
        </is>
      </c>
      <c r="R1237" t="inlineStr">
        <is>
          <t xml:space="preserve">QD </t>
        </is>
      </c>
      <c r="S1237" t="n">
        <v>2</v>
      </c>
      <c r="T1237" t="n">
        <v>2</v>
      </c>
      <c r="U1237" t="inlineStr">
        <is>
          <t>2004-03-22</t>
        </is>
      </c>
      <c r="V1237" t="inlineStr">
        <is>
          <t>2004-03-22</t>
        </is>
      </c>
      <c r="W1237" t="inlineStr">
        <is>
          <t>1997-06-19</t>
        </is>
      </c>
      <c r="X1237" t="inlineStr">
        <is>
          <t>1997-06-19</t>
        </is>
      </c>
      <c r="Y1237" t="n">
        <v>243</v>
      </c>
      <c r="Z1237" t="n">
        <v>194</v>
      </c>
      <c r="AA1237" t="n">
        <v>282</v>
      </c>
      <c r="AB1237" t="n">
        <v>2</v>
      </c>
      <c r="AC1237" t="n">
        <v>2</v>
      </c>
      <c r="AD1237" t="n">
        <v>6</v>
      </c>
      <c r="AE1237" t="n">
        <v>10</v>
      </c>
      <c r="AF1237" t="n">
        <v>3</v>
      </c>
      <c r="AG1237" t="n">
        <v>5</v>
      </c>
      <c r="AH1237" t="n">
        <v>2</v>
      </c>
      <c r="AI1237" t="n">
        <v>3</v>
      </c>
      <c r="AJ1237" t="n">
        <v>2</v>
      </c>
      <c r="AK1237" t="n">
        <v>4</v>
      </c>
      <c r="AL1237" t="n">
        <v>1</v>
      </c>
      <c r="AM1237" t="n">
        <v>1</v>
      </c>
      <c r="AN1237" t="n">
        <v>0</v>
      </c>
      <c r="AO1237" t="n">
        <v>0</v>
      </c>
      <c r="AP1237" t="inlineStr">
        <is>
          <t>No</t>
        </is>
      </c>
      <c r="AQ1237" t="inlineStr">
        <is>
          <t>Yes</t>
        </is>
      </c>
      <c r="AR1237">
        <f>HYPERLINK("http://catalog.hathitrust.org/Record/001114384","HathiTrust Record")</f>
        <v/>
      </c>
      <c r="AS1237">
        <f>HYPERLINK("https://creighton-primo.hosted.exlibrisgroup.com/primo-explore/search?tab=default_tab&amp;search_scope=EVERYTHING&amp;vid=01CRU&amp;lang=en_US&amp;offset=0&amp;query=any,contains,991003793569702656","Catalog Record")</f>
        <v/>
      </c>
      <c r="AT1237">
        <f>HYPERLINK("http://www.worldcat.org/oclc/1513609","WorldCat Record")</f>
        <v/>
      </c>
      <c r="AU1237" t="inlineStr">
        <is>
          <t>2340995:eng</t>
        </is>
      </c>
      <c r="AV1237" t="inlineStr">
        <is>
          <t>1513609</t>
        </is>
      </c>
      <c r="AW1237" t="inlineStr">
        <is>
          <t>991003793569702656</t>
        </is>
      </c>
      <c r="AX1237" t="inlineStr">
        <is>
          <t>991003793569702656</t>
        </is>
      </c>
      <c r="AY1237" t="inlineStr">
        <is>
          <t>2258333180002656</t>
        </is>
      </c>
      <c r="AZ1237" t="inlineStr">
        <is>
          <t>BOOK</t>
        </is>
      </c>
      <c r="BC1237" t="inlineStr">
        <is>
          <t>32285002809548</t>
        </is>
      </c>
      <c r="BD1237" t="inlineStr">
        <is>
          <t>893775200</t>
        </is>
      </c>
    </row>
    <row r="1238">
      <c r="A1238" t="inlineStr">
        <is>
          <t>No</t>
        </is>
      </c>
      <c r="B1238" t="inlineStr">
        <is>
          <t>QD601 .F7 1955</t>
        </is>
      </c>
      <c r="C1238" t="inlineStr">
        <is>
          <t>0                      QD 0601000F  7           1955</t>
        </is>
      </c>
      <c r="D1238" t="inlineStr">
        <is>
          <t>Nuclear and radiochemistry / [by] Gerhart Friedlander [and] Joseph W. Kennedy.</t>
        </is>
      </c>
      <c r="F1238" t="inlineStr">
        <is>
          <t>No</t>
        </is>
      </c>
      <c r="G1238" t="inlineStr">
        <is>
          <t>1</t>
        </is>
      </c>
      <c r="H1238" t="inlineStr">
        <is>
          <t>No</t>
        </is>
      </c>
      <c r="I1238" t="inlineStr">
        <is>
          <t>No</t>
        </is>
      </c>
      <c r="J1238" t="inlineStr">
        <is>
          <t>0</t>
        </is>
      </c>
      <c r="K1238" t="inlineStr">
        <is>
          <t>Friedlander, Gerhart.</t>
        </is>
      </c>
      <c r="L1238" t="inlineStr">
        <is>
          <t>New York : Wiley, [1955]</t>
        </is>
      </c>
      <c r="M1238" t="inlineStr">
        <is>
          <t>1955</t>
        </is>
      </c>
      <c r="O1238" t="inlineStr">
        <is>
          <t>eng</t>
        </is>
      </c>
      <c r="P1238" t="inlineStr">
        <is>
          <t xml:space="preserve">xx </t>
        </is>
      </c>
      <c r="R1238" t="inlineStr">
        <is>
          <t xml:space="preserve">QD </t>
        </is>
      </c>
      <c r="S1238" t="n">
        <v>2</v>
      </c>
      <c r="T1238" t="n">
        <v>2</v>
      </c>
      <c r="U1238" t="inlineStr">
        <is>
          <t>1995-04-14</t>
        </is>
      </c>
      <c r="V1238" t="inlineStr">
        <is>
          <t>1995-04-14</t>
        </is>
      </c>
      <c r="W1238" t="inlineStr">
        <is>
          <t>1994-04-12</t>
        </is>
      </c>
      <c r="X1238" t="inlineStr">
        <is>
          <t>1994-04-12</t>
        </is>
      </c>
      <c r="Y1238" t="n">
        <v>438</v>
      </c>
      <c r="Z1238" t="n">
        <v>342</v>
      </c>
      <c r="AA1238" t="n">
        <v>969</v>
      </c>
      <c r="AB1238" t="n">
        <v>5</v>
      </c>
      <c r="AC1238" t="n">
        <v>10</v>
      </c>
      <c r="AD1238" t="n">
        <v>12</v>
      </c>
      <c r="AE1238" t="n">
        <v>38</v>
      </c>
      <c r="AF1238" t="n">
        <v>4</v>
      </c>
      <c r="AG1238" t="n">
        <v>17</v>
      </c>
      <c r="AH1238" t="n">
        <v>1</v>
      </c>
      <c r="AI1238" t="n">
        <v>4</v>
      </c>
      <c r="AJ1238" t="n">
        <v>4</v>
      </c>
      <c r="AK1238" t="n">
        <v>16</v>
      </c>
      <c r="AL1238" t="n">
        <v>4</v>
      </c>
      <c r="AM1238" t="n">
        <v>9</v>
      </c>
      <c r="AN1238" t="n">
        <v>0</v>
      </c>
      <c r="AO1238" t="n">
        <v>0</v>
      </c>
      <c r="AP1238" t="inlineStr">
        <is>
          <t>No</t>
        </is>
      </c>
      <c r="AQ1238" t="inlineStr">
        <is>
          <t>Yes</t>
        </is>
      </c>
      <c r="AR1238">
        <f>HYPERLINK("http://catalog.hathitrust.org/Record/001114386","HathiTrust Record")</f>
        <v/>
      </c>
      <c r="AS1238">
        <f>HYPERLINK("https://creighton-primo.hosted.exlibrisgroup.com/primo-explore/search?tab=default_tab&amp;search_scope=EVERYTHING&amp;vid=01CRU&amp;lang=en_US&amp;offset=0&amp;query=any,contains,991003460569702656","Catalog Record")</f>
        <v/>
      </c>
      <c r="AT1238">
        <f>HYPERLINK("http://www.worldcat.org/oclc/1001869","WorldCat Record")</f>
        <v/>
      </c>
      <c r="AU1238" t="inlineStr">
        <is>
          <t>4918445915:eng</t>
        </is>
      </c>
      <c r="AV1238" t="inlineStr">
        <is>
          <t>1001869</t>
        </is>
      </c>
      <c r="AW1238" t="inlineStr">
        <is>
          <t>991003460569702656</t>
        </is>
      </c>
      <c r="AX1238" t="inlineStr">
        <is>
          <t>991003460569702656</t>
        </is>
      </c>
      <c r="AY1238" t="inlineStr">
        <is>
          <t>2256808640002656</t>
        </is>
      </c>
      <c r="AZ1238" t="inlineStr">
        <is>
          <t>BOOK</t>
        </is>
      </c>
      <c r="BC1238" t="inlineStr">
        <is>
          <t>32285001885671</t>
        </is>
      </c>
      <c r="BD1238" t="inlineStr">
        <is>
          <t>893234179</t>
        </is>
      </c>
    </row>
    <row r="1239">
      <c r="A1239" t="inlineStr">
        <is>
          <t>No</t>
        </is>
      </c>
      <c r="B1239" t="inlineStr">
        <is>
          <t>QD601 .P43</t>
        </is>
      </c>
      <c r="C1239" t="inlineStr">
        <is>
          <t>0                      QD 0601000P  43</t>
        </is>
      </c>
      <c r="D1239" t="inlineStr">
        <is>
          <t>Radiochemistry : theory and experiment / T. A. H. Peacocke.</t>
        </is>
      </c>
      <c r="F1239" t="inlineStr">
        <is>
          <t>No</t>
        </is>
      </c>
      <c r="G1239" t="inlineStr">
        <is>
          <t>1</t>
        </is>
      </c>
      <c r="H1239" t="inlineStr">
        <is>
          <t>No</t>
        </is>
      </c>
      <c r="I1239" t="inlineStr">
        <is>
          <t>No</t>
        </is>
      </c>
      <c r="J1239" t="inlineStr">
        <is>
          <t>0</t>
        </is>
      </c>
      <c r="K1239" t="inlineStr">
        <is>
          <t>Peacocke, T. A. H. (Thomas Arthur Hardy)</t>
        </is>
      </c>
      <c r="L1239" t="inlineStr">
        <is>
          <t>London : Wykeham Publications, 1978.</t>
        </is>
      </c>
      <c r="M1239" t="inlineStr">
        <is>
          <t>1978</t>
        </is>
      </c>
      <c r="O1239" t="inlineStr">
        <is>
          <t>eng</t>
        </is>
      </c>
      <c r="P1239" t="inlineStr">
        <is>
          <t>enk</t>
        </is>
      </c>
      <c r="Q1239" t="inlineStr">
        <is>
          <t>Wykeham science series</t>
        </is>
      </c>
      <c r="R1239" t="inlineStr">
        <is>
          <t xml:space="preserve">QD </t>
        </is>
      </c>
      <c r="S1239" t="n">
        <v>2</v>
      </c>
      <c r="T1239" t="n">
        <v>2</v>
      </c>
      <c r="U1239" t="inlineStr">
        <is>
          <t>1995-04-14</t>
        </is>
      </c>
      <c r="V1239" t="inlineStr">
        <is>
          <t>1995-04-14</t>
        </is>
      </c>
      <c r="W1239" t="inlineStr">
        <is>
          <t>1992-01-27</t>
        </is>
      </c>
      <c r="X1239" t="inlineStr">
        <is>
          <t>1992-01-27</t>
        </is>
      </c>
      <c r="Y1239" t="n">
        <v>148</v>
      </c>
      <c r="Z1239" t="n">
        <v>90</v>
      </c>
      <c r="AA1239" t="n">
        <v>92</v>
      </c>
      <c r="AB1239" t="n">
        <v>1</v>
      </c>
      <c r="AC1239" t="n">
        <v>1</v>
      </c>
      <c r="AD1239" t="n">
        <v>3</v>
      </c>
      <c r="AE1239" t="n">
        <v>3</v>
      </c>
      <c r="AF1239" t="n">
        <v>0</v>
      </c>
      <c r="AG1239" t="n">
        <v>0</v>
      </c>
      <c r="AH1239" t="n">
        <v>1</v>
      </c>
      <c r="AI1239" t="n">
        <v>1</v>
      </c>
      <c r="AJ1239" t="n">
        <v>3</v>
      </c>
      <c r="AK1239" t="n">
        <v>3</v>
      </c>
      <c r="AL1239" t="n">
        <v>0</v>
      </c>
      <c r="AM1239" t="n">
        <v>0</v>
      </c>
      <c r="AN1239" t="n">
        <v>0</v>
      </c>
      <c r="AO1239" t="n">
        <v>0</v>
      </c>
      <c r="AP1239" t="inlineStr">
        <is>
          <t>No</t>
        </is>
      </c>
      <c r="AQ1239" t="inlineStr">
        <is>
          <t>Yes</t>
        </is>
      </c>
      <c r="AR1239">
        <f>HYPERLINK("http://catalog.hathitrust.org/Record/006246389","HathiTrust Record")</f>
        <v/>
      </c>
      <c r="AS1239">
        <f>HYPERLINK("https://creighton-primo.hosted.exlibrisgroup.com/primo-explore/search?tab=default_tab&amp;search_scope=EVERYTHING&amp;vid=01CRU&amp;lang=en_US&amp;offset=0&amp;query=any,contains,991004782179702656","Catalog Record")</f>
        <v/>
      </c>
      <c r="AT1239">
        <f>HYPERLINK("http://www.worldcat.org/oclc/5121028","WorldCat Record")</f>
        <v/>
      </c>
      <c r="AU1239" t="inlineStr">
        <is>
          <t>11795089:eng</t>
        </is>
      </c>
      <c r="AV1239" t="inlineStr">
        <is>
          <t>5121028</t>
        </is>
      </c>
      <c r="AW1239" t="inlineStr">
        <is>
          <t>991004782179702656</t>
        </is>
      </c>
      <c r="AX1239" t="inlineStr">
        <is>
          <t>991004782179702656</t>
        </is>
      </c>
      <c r="AY1239" t="inlineStr">
        <is>
          <t>2272364310002656</t>
        </is>
      </c>
      <c r="AZ1239" t="inlineStr">
        <is>
          <t>BOOK</t>
        </is>
      </c>
      <c r="BB1239" t="inlineStr">
        <is>
          <t>9780851096902</t>
        </is>
      </c>
      <c r="BC1239" t="inlineStr">
        <is>
          <t>32285000898691</t>
        </is>
      </c>
      <c r="BD1239" t="inlineStr">
        <is>
          <t>893694348</t>
        </is>
      </c>
    </row>
    <row r="1240">
      <c r="A1240" t="inlineStr">
        <is>
          <t>No</t>
        </is>
      </c>
      <c r="B1240" t="inlineStr">
        <is>
          <t>QD601 .W24</t>
        </is>
      </c>
      <c r="C1240" t="inlineStr">
        <is>
          <t>0                      QD 0601000W  24</t>
        </is>
      </c>
      <c r="D1240" t="inlineStr">
        <is>
          <t>Radioactivity applied to chemistry / Arthur C. Wahl, editor; Norman A. Bonner, assistant editor.</t>
        </is>
      </c>
      <c r="F1240" t="inlineStr">
        <is>
          <t>No</t>
        </is>
      </c>
      <c r="G1240" t="inlineStr">
        <is>
          <t>1</t>
        </is>
      </c>
      <c r="H1240" t="inlineStr">
        <is>
          <t>No</t>
        </is>
      </c>
      <c r="I1240" t="inlineStr">
        <is>
          <t>No</t>
        </is>
      </c>
      <c r="J1240" t="inlineStr">
        <is>
          <t>0</t>
        </is>
      </c>
      <c r="K1240" t="inlineStr">
        <is>
          <t>Wahl, Arthur C., editor.</t>
        </is>
      </c>
      <c r="L1240" t="inlineStr">
        <is>
          <t>New York : Wiley, 1951.</t>
        </is>
      </c>
      <c r="M1240" t="inlineStr">
        <is>
          <t>1951</t>
        </is>
      </c>
      <c r="O1240" t="inlineStr">
        <is>
          <t>eng</t>
        </is>
      </c>
      <c r="P1240" t="inlineStr">
        <is>
          <t>nyu</t>
        </is>
      </c>
      <c r="R1240" t="inlineStr">
        <is>
          <t xml:space="preserve">QD </t>
        </is>
      </c>
      <c r="S1240" t="n">
        <v>2</v>
      </c>
      <c r="T1240" t="n">
        <v>2</v>
      </c>
      <c r="U1240" t="inlineStr">
        <is>
          <t>1995-04-14</t>
        </is>
      </c>
      <c r="V1240" t="inlineStr">
        <is>
          <t>1995-04-14</t>
        </is>
      </c>
      <c r="W1240" t="inlineStr">
        <is>
          <t>1993-05-11</t>
        </is>
      </c>
      <c r="X1240" t="inlineStr">
        <is>
          <t>1993-05-11</t>
        </is>
      </c>
      <c r="Y1240" t="n">
        <v>425</v>
      </c>
      <c r="Z1240" t="n">
        <v>312</v>
      </c>
      <c r="AA1240" t="n">
        <v>325</v>
      </c>
      <c r="AB1240" t="n">
        <v>3</v>
      </c>
      <c r="AC1240" t="n">
        <v>3</v>
      </c>
      <c r="AD1240" t="n">
        <v>15</v>
      </c>
      <c r="AE1240" t="n">
        <v>17</v>
      </c>
      <c r="AF1240" t="n">
        <v>4</v>
      </c>
      <c r="AG1240" t="n">
        <v>4</v>
      </c>
      <c r="AH1240" t="n">
        <v>4</v>
      </c>
      <c r="AI1240" t="n">
        <v>5</v>
      </c>
      <c r="AJ1240" t="n">
        <v>10</v>
      </c>
      <c r="AK1240" t="n">
        <v>12</v>
      </c>
      <c r="AL1240" t="n">
        <v>2</v>
      </c>
      <c r="AM1240" t="n">
        <v>2</v>
      </c>
      <c r="AN1240" t="n">
        <v>0</v>
      </c>
      <c r="AO1240" t="n">
        <v>0</v>
      </c>
      <c r="AP1240" t="inlineStr">
        <is>
          <t>Yes</t>
        </is>
      </c>
      <c r="AQ1240" t="inlineStr">
        <is>
          <t>No</t>
        </is>
      </c>
      <c r="AR1240">
        <f>HYPERLINK("http://catalog.hathitrust.org/Record/001114407","HathiTrust Record")</f>
        <v/>
      </c>
      <c r="AS1240">
        <f>HYPERLINK("https://creighton-primo.hosted.exlibrisgroup.com/primo-explore/search?tab=default_tab&amp;search_scope=EVERYTHING&amp;vid=01CRU&amp;lang=en_US&amp;offset=0&amp;query=any,contains,991003793929702656","Catalog Record")</f>
        <v/>
      </c>
      <c r="AT1240">
        <f>HYPERLINK("http://www.worldcat.org/oclc/1513851","WorldCat Record")</f>
        <v/>
      </c>
      <c r="AU1240" t="inlineStr">
        <is>
          <t>354187358:eng</t>
        </is>
      </c>
      <c r="AV1240" t="inlineStr">
        <is>
          <t>1513851</t>
        </is>
      </c>
      <c r="AW1240" t="inlineStr">
        <is>
          <t>991003793929702656</t>
        </is>
      </c>
      <c r="AX1240" t="inlineStr">
        <is>
          <t>991003793929702656</t>
        </is>
      </c>
      <c r="AY1240" t="inlineStr">
        <is>
          <t>2261158560002656</t>
        </is>
      </c>
      <c r="AZ1240" t="inlineStr">
        <is>
          <t>BOOK</t>
        </is>
      </c>
      <c r="BC1240" t="inlineStr">
        <is>
          <t>32285001652931</t>
        </is>
      </c>
      <c r="BD1240" t="inlineStr">
        <is>
          <t>893887921</t>
        </is>
      </c>
    </row>
    <row r="1241">
      <c r="A1241" t="inlineStr">
        <is>
          <t>No</t>
        </is>
      </c>
      <c r="B1241" t="inlineStr">
        <is>
          <t>QD601.2 .F57 1998 Supp.</t>
        </is>
      </c>
      <c r="C1241" t="inlineStr">
        <is>
          <t>0                      QD 0601200F  57          1998                                        Supp.</t>
        </is>
      </c>
      <c r="D1241" t="inlineStr">
        <is>
          <t>Table of isotopes / Richard B. Firestone ; Coral M. Baglin, editor ; S.Y. Frank Chu, CD-ROM editor.</t>
        </is>
      </c>
      <c r="E1241" t="inlineStr">
        <is>
          <t>Supp.*</t>
        </is>
      </c>
      <c r="F1241" t="inlineStr">
        <is>
          <t>No</t>
        </is>
      </c>
      <c r="G1241" t="inlineStr">
        <is>
          <t>1</t>
        </is>
      </c>
      <c r="H1241" t="inlineStr">
        <is>
          <t>No</t>
        </is>
      </c>
      <c r="I1241" t="inlineStr">
        <is>
          <t>Yes</t>
        </is>
      </c>
      <c r="J1241" t="inlineStr">
        <is>
          <t>0</t>
        </is>
      </c>
      <c r="K1241" t="inlineStr">
        <is>
          <t>Firestone, Richard B.</t>
        </is>
      </c>
      <c r="L1241" t="inlineStr">
        <is>
          <t>New York : Wiley, c1998.</t>
        </is>
      </c>
      <c r="M1241" t="inlineStr">
        <is>
          <t>1998</t>
        </is>
      </c>
      <c r="N1241" t="inlineStr">
        <is>
          <t>8th ed., 1998 update with CD-ROM.</t>
        </is>
      </c>
      <c r="O1241" t="inlineStr">
        <is>
          <t>eng</t>
        </is>
      </c>
      <c r="P1241" t="inlineStr">
        <is>
          <t>nyu</t>
        </is>
      </c>
      <c r="R1241" t="inlineStr">
        <is>
          <t xml:space="preserve">QD </t>
        </is>
      </c>
      <c r="S1241" t="n">
        <v>3</v>
      </c>
      <c r="T1241" t="n">
        <v>3</v>
      </c>
      <c r="U1241" t="inlineStr">
        <is>
          <t>1999-05-03</t>
        </is>
      </c>
      <c r="V1241" t="inlineStr">
        <is>
          <t>1999-05-03</t>
        </is>
      </c>
      <c r="W1241" t="inlineStr">
        <is>
          <t>1999-05-03</t>
        </is>
      </c>
      <c r="X1241" t="inlineStr">
        <is>
          <t>1999-05-03</t>
        </is>
      </c>
      <c r="Y1241" t="n">
        <v>61</v>
      </c>
      <c r="Z1241" t="n">
        <v>49</v>
      </c>
      <c r="AA1241" t="n">
        <v>397</v>
      </c>
      <c r="AB1241" t="n">
        <v>1</v>
      </c>
      <c r="AC1241" t="n">
        <v>3</v>
      </c>
      <c r="AD1241" t="n">
        <v>0</v>
      </c>
      <c r="AE1241" t="n">
        <v>14</v>
      </c>
      <c r="AF1241" t="n">
        <v>0</v>
      </c>
      <c r="AG1241" t="n">
        <v>3</v>
      </c>
      <c r="AH1241" t="n">
        <v>0</v>
      </c>
      <c r="AI1241" t="n">
        <v>2</v>
      </c>
      <c r="AJ1241" t="n">
        <v>0</v>
      </c>
      <c r="AK1241" t="n">
        <v>9</v>
      </c>
      <c r="AL1241" t="n">
        <v>0</v>
      </c>
      <c r="AM1241" t="n">
        <v>2</v>
      </c>
      <c r="AN1241" t="n">
        <v>0</v>
      </c>
      <c r="AO1241" t="n">
        <v>0</v>
      </c>
      <c r="AP1241" t="inlineStr">
        <is>
          <t>No</t>
        </is>
      </c>
      <c r="AQ1241" t="inlineStr">
        <is>
          <t>Yes</t>
        </is>
      </c>
      <c r="AR1241">
        <f>HYPERLINK("http://catalog.hathitrust.org/Record/010248213","HathiTrust Record")</f>
        <v/>
      </c>
      <c r="AS1241">
        <f>HYPERLINK("https://creighton-primo.hosted.exlibrisgroup.com/primo-explore/search?tab=default_tab&amp;search_scope=EVERYTHING&amp;vid=01CRU&amp;lang=en_US&amp;offset=0&amp;query=any,contains,991002933969702656","Catalog Record")</f>
        <v/>
      </c>
      <c r="AT1241">
        <f>HYPERLINK("http://www.worldcat.org/oclc/38144404","WorldCat Record")</f>
        <v/>
      </c>
      <c r="AU1241" t="inlineStr">
        <is>
          <t>4663533661:eng</t>
        </is>
      </c>
      <c r="AV1241" t="inlineStr">
        <is>
          <t>38144404</t>
        </is>
      </c>
      <c r="AW1241" t="inlineStr">
        <is>
          <t>991002933969702656</t>
        </is>
      </c>
      <c r="AX1241" t="inlineStr">
        <is>
          <t>991002933969702656</t>
        </is>
      </c>
      <c r="AY1241" t="inlineStr">
        <is>
          <t>2263402440002656</t>
        </is>
      </c>
      <c r="AZ1241" t="inlineStr">
        <is>
          <t>BOOK</t>
        </is>
      </c>
      <c r="BB1241" t="inlineStr">
        <is>
          <t>9780471246992</t>
        </is>
      </c>
      <c r="BC1241" t="inlineStr">
        <is>
          <t>32285003484234</t>
        </is>
      </c>
      <c r="BD1241" t="inlineStr">
        <is>
          <t>893799183</t>
        </is>
      </c>
    </row>
    <row r="1242">
      <c r="A1242" t="inlineStr">
        <is>
          <t>No</t>
        </is>
      </c>
      <c r="B1242" t="inlineStr">
        <is>
          <t>QD61 .S58 1981</t>
        </is>
      </c>
      <c r="C1242" t="inlineStr">
        <is>
          <t>0                      QD 0061000S  58          1981</t>
        </is>
      </c>
      <c r="D1242" t="inlineStr">
        <is>
          <t>Chemical technicians' ready reference handbook / Gershon J. Shugar ... [et al.].</t>
        </is>
      </c>
      <c r="F1242" t="inlineStr">
        <is>
          <t>No</t>
        </is>
      </c>
      <c r="G1242" t="inlineStr">
        <is>
          <t>1</t>
        </is>
      </c>
      <c r="H1242" t="inlineStr">
        <is>
          <t>No</t>
        </is>
      </c>
      <c r="I1242" t="inlineStr">
        <is>
          <t>No</t>
        </is>
      </c>
      <c r="J1242" t="inlineStr">
        <is>
          <t>0</t>
        </is>
      </c>
      <c r="L1242" t="inlineStr">
        <is>
          <t>New York : McGraw-Hill, c1981.</t>
        </is>
      </c>
      <c r="M1242" t="inlineStr">
        <is>
          <t>1981</t>
        </is>
      </c>
      <c r="N1242" t="inlineStr">
        <is>
          <t>2d ed.</t>
        </is>
      </c>
      <c r="O1242" t="inlineStr">
        <is>
          <t>eng</t>
        </is>
      </c>
      <c r="P1242" t="inlineStr">
        <is>
          <t>nyu</t>
        </is>
      </c>
      <c r="R1242" t="inlineStr">
        <is>
          <t xml:space="preserve">QD </t>
        </is>
      </c>
      <c r="S1242" t="n">
        <v>6</v>
      </c>
      <c r="T1242" t="n">
        <v>6</v>
      </c>
      <c r="U1242" t="inlineStr">
        <is>
          <t>2004-03-21</t>
        </is>
      </c>
      <c r="V1242" t="inlineStr">
        <is>
          <t>2004-03-21</t>
        </is>
      </c>
      <c r="W1242" t="inlineStr">
        <is>
          <t>1992-05-12</t>
        </is>
      </c>
      <c r="X1242" t="inlineStr">
        <is>
          <t>1992-05-12</t>
        </is>
      </c>
      <c r="Y1242" t="n">
        <v>619</v>
      </c>
      <c r="Z1242" t="n">
        <v>509</v>
      </c>
      <c r="AA1242" t="n">
        <v>1177</v>
      </c>
      <c r="AB1242" t="n">
        <v>4</v>
      </c>
      <c r="AC1242" t="n">
        <v>10</v>
      </c>
      <c r="AD1242" t="n">
        <v>11</v>
      </c>
      <c r="AE1242" t="n">
        <v>33</v>
      </c>
      <c r="AF1242" t="n">
        <v>4</v>
      </c>
      <c r="AG1242" t="n">
        <v>10</v>
      </c>
      <c r="AH1242" t="n">
        <v>3</v>
      </c>
      <c r="AI1242" t="n">
        <v>6</v>
      </c>
      <c r="AJ1242" t="n">
        <v>5</v>
      </c>
      <c r="AK1242" t="n">
        <v>18</v>
      </c>
      <c r="AL1242" t="n">
        <v>3</v>
      </c>
      <c r="AM1242" t="n">
        <v>8</v>
      </c>
      <c r="AN1242" t="n">
        <v>0</v>
      </c>
      <c r="AO1242" t="n">
        <v>0</v>
      </c>
      <c r="AP1242" t="inlineStr">
        <is>
          <t>No</t>
        </is>
      </c>
      <c r="AQ1242" t="inlineStr">
        <is>
          <t>Yes</t>
        </is>
      </c>
      <c r="AR1242">
        <f>HYPERLINK("http://catalog.hathitrust.org/Record/000098657","HathiTrust Record")</f>
        <v/>
      </c>
      <c r="AS1242">
        <f>HYPERLINK("https://creighton-primo.hosted.exlibrisgroup.com/primo-explore/search?tab=default_tab&amp;search_scope=EVERYTHING&amp;vid=01CRU&amp;lang=en_US&amp;offset=0&amp;query=any,contains,991005033289702656","Catalog Record")</f>
        <v/>
      </c>
      <c r="AT1242">
        <f>HYPERLINK("http://www.worldcat.org/oclc/6735474","WorldCat Record")</f>
        <v/>
      </c>
      <c r="AU1242" t="inlineStr">
        <is>
          <t>1746184:eng</t>
        </is>
      </c>
      <c r="AV1242" t="inlineStr">
        <is>
          <t>6735474</t>
        </is>
      </c>
      <c r="AW1242" t="inlineStr">
        <is>
          <t>991005033289702656</t>
        </is>
      </c>
      <c r="AX1242" t="inlineStr">
        <is>
          <t>991005033289702656</t>
        </is>
      </c>
      <c r="AY1242" t="inlineStr">
        <is>
          <t>2267892050002656</t>
        </is>
      </c>
      <c r="AZ1242" t="inlineStr">
        <is>
          <t>BOOK</t>
        </is>
      </c>
      <c r="BB1242" t="inlineStr">
        <is>
          <t>9780070571761</t>
        </is>
      </c>
      <c r="BC1242" t="inlineStr">
        <is>
          <t>32285001108777</t>
        </is>
      </c>
      <c r="BD1242" t="inlineStr">
        <is>
          <t>893332305</t>
        </is>
      </c>
    </row>
    <row r="1243">
      <c r="A1243" t="inlineStr">
        <is>
          <t>No</t>
        </is>
      </c>
      <c r="B1243" t="inlineStr">
        <is>
          <t>QD61 .T4 v.14</t>
        </is>
      </c>
      <c r="C1243" t="inlineStr">
        <is>
          <t>0                      QD 0061000T  4                                                       v.14</t>
        </is>
      </c>
      <c r="D1243" t="inlineStr">
        <is>
          <t>Thin-layer chromatography / Justus G. Kirchner. --</t>
        </is>
      </c>
      <c r="E1243" t="inlineStr">
        <is>
          <t>V. 14</t>
        </is>
      </c>
      <c r="F1243" t="inlineStr">
        <is>
          <t>No</t>
        </is>
      </c>
      <c r="G1243" t="inlineStr">
        <is>
          <t>1</t>
        </is>
      </c>
      <c r="H1243" t="inlineStr">
        <is>
          <t>No</t>
        </is>
      </c>
      <c r="I1243" t="inlineStr">
        <is>
          <t>No</t>
        </is>
      </c>
      <c r="J1243" t="inlineStr">
        <is>
          <t>0</t>
        </is>
      </c>
      <c r="K1243" t="inlineStr">
        <is>
          <t>Kirchner, Justus G., 1911-</t>
        </is>
      </c>
      <c r="L1243" t="inlineStr">
        <is>
          <t>New York : Wiley, c1978.</t>
        </is>
      </c>
      <c r="M1243" t="inlineStr">
        <is>
          <t>1978</t>
        </is>
      </c>
      <c r="N1243" t="inlineStr">
        <is>
          <t>2d ed.</t>
        </is>
      </c>
      <c r="O1243" t="inlineStr">
        <is>
          <t>eng</t>
        </is>
      </c>
      <c r="P1243" t="inlineStr">
        <is>
          <t>nyu</t>
        </is>
      </c>
      <c r="Q1243" t="inlineStr">
        <is>
          <t>Techniques of chemistry ; v. 14</t>
        </is>
      </c>
      <c r="R1243" t="inlineStr">
        <is>
          <t xml:space="preserve">QD </t>
        </is>
      </c>
      <c r="S1243" t="n">
        <v>1</v>
      </c>
      <c r="T1243" t="n">
        <v>1</v>
      </c>
      <c r="U1243" t="inlineStr">
        <is>
          <t>1996-04-15</t>
        </is>
      </c>
      <c r="V1243" t="inlineStr">
        <is>
          <t>1996-04-15</t>
        </is>
      </c>
      <c r="W1243" t="inlineStr">
        <is>
          <t>1992-03-30</t>
        </is>
      </c>
      <c r="X1243" t="inlineStr">
        <is>
          <t>1992-03-30</t>
        </is>
      </c>
      <c r="Y1243" t="n">
        <v>467</v>
      </c>
      <c r="Z1243" t="n">
        <v>337</v>
      </c>
      <c r="AA1243" t="n">
        <v>452</v>
      </c>
      <c r="AB1243" t="n">
        <v>2</v>
      </c>
      <c r="AC1243" t="n">
        <v>3</v>
      </c>
      <c r="AD1243" t="n">
        <v>19</v>
      </c>
      <c r="AE1243" t="n">
        <v>21</v>
      </c>
      <c r="AF1243" t="n">
        <v>7</v>
      </c>
      <c r="AG1243" t="n">
        <v>8</v>
      </c>
      <c r="AH1243" t="n">
        <v>6</v>
      </c>
      <c r="AI1243" t="n">
        <v>6</v>
      </c>
      <c r="AJ1243" t="n">
        <v>12</v>
      </c>
      <c r="AK1243" t="n">
        <v>12</v>
      </c>
      <c r="AL1243" t="n">
        <v>1</v>
      </c>
      <c r="AM1243" t="n">
        <v>2</v>
      </c>
      <c r="AN1243" t="n">
        <v>0</v>
      </c>
      <c r="AO1243" t="n">
        <v>0</v>
      </c>
      <c r="AP1243" t="inlineStr">
        <is>
          <t>No</t>
        </is>
      </c>
      <c r="AQ1243" t="inlineStr">
        <is>
          <t>Yes</t>
        </is>
      </c>
      <c r="AR1243">
        <f>HYPERLINK("http://catalog.hathitrust.org/Record/000700328","HathiTrust Record")</f>
        <v/>
      </c>
      <c r="AS1243">
        <f>HYPERLINK("https://creighton-primo.hosted.exlibrisgroup.com/primo-explore/search?tab=default_tab&amp;search_scope=EVERYTHING&amp;vid=01CRU&amp;lang=en_US&amp;offset=0&amp;query=any,contains,991004545489702656","Catalog Record")</f>
        <v/>
      </c>
      <c r="AT1243">
        <f>HYPERLINK("http://www.worldcat.org/oclc/3913308","WorldCat Record")</f>
        <v/>
      </c>
      <c r="AU1243" t="inlineStr">
        <is>
          <t>490441:eng</t>
        </is>
      </c>
      <c r="AV1243" t="inlineStr">
        <is>
          <t>3913308</t>
        </is>
      </c>
      <c r="AW1243" t="inlineStr">
        <is>
          <t>991004545489702656</t>
        </is>
      </c>
      <c r="AX1243" t="inlineStr">
        <is>
          <t>991004545489702656</t>
        </is>
      </c>
      <c r="AY1243" t="inlineStr">
        <is>
          <t>2258248420002656</t>
        </is>
      </c>
      <c r="AZ1243" t="inlineStr">
        <is>
          <t>BOOK</t>
        </is>
      </c>
      <c r="BB1243" t="inlineStr">
        <is>
          <t>9780471026556</t>
        </is>
      </c>
      <c r="BC1243" t="inlineStr">
        <is>
          <t>32285001046217</t>
        </is>
      </c>
      <c r="BD1243" t="inlineStr">
        <is>
          <t>893259840</t>
        </is>
      </c>
    </row>
    <row r="1244">
      <c r="A1244" t="inlineStr">
        <is>
          <t>No</t>
        </is>
      </c>
      <c r="B1244" t="inlineStr">
        <is>
          <t>QD61 .T4 v.16</t>
        </is>
      </c>
      <c r="C1244" t="inlineStr">
        <is>
          <t>0                      QD 0061000T  4                                                       v.16</t>
        </is>
      </c>
      <c r="D1244" t="inlineStr">
        <is>
          <t>Separations by centrifugal phenomena / Hsien-Wen Hsu ; editor, Edmond S. Perry.</t>
        </is>
      </c>
      <c r="E1244" t="inlineStr">
        <is>
          <t>V. 16</t>
        </is>
      </c>
      <c r="F1244" t="inlineStr">
        <is>
          <t>No</t>
        </is>
      </c>
      <c r="G1244" t="inlineStr">
        <is>
          <t>1</t>
        </is>
      </c>
      <c r="H1244" t="inlineStr">
        <is>
          <t>No</t>
        </is>
      </c>
      <c r="I1244" t="inlineStr">
        <is>
          <t>No</t>
        </is>
      </c>
      <c r="J1244" t="inlineStr">
        <is>
          <t>0</t>
        </is>
      </c>
      <c r="K1244" t="inlineStr">
        <is>
          <t>Hsu, Hsien-Wen, 1928-</t>
        </is>
      </c>
      <c r="L1244" t="inlineStr">
        <is>
          <t>New York : Wiley, c1981.</t>
        </is>
      </c>
      <c r="M1244" t="inlineStr">
        <is>
          <t>1981</t>
        </is>
      </c>
      <c r="O1244" t="inlineStr">
        <is>
          <t>eng</t>
        </is>
      </c>
      <c r="P1244" t="inlineStr">
        <is>
          <t>nyu</t>
        </is>
      </c>
      <c r="Q1244" t="inlineStr">
        <is>
          <t>Techniques of chemistry ; v. 16</t>
        </is>
      </c>
      <c r="R1244" t="inlineStr">
        <is>
          <t xml:space="preserve">QD </t>
        </is>
      </c>
      <c r="S1244" t="n">
        <v>3</v>
      </c>
      <c r="T1244" t="n">
        <v>3</v>
      </c>
      <c r="U1244" t="inlineStr">
        <is>
          <t>1996-11-12</t>
        </is>
      </c>
      <c r="V1244" t="inlineStr">
        <is>
          <t>1996-11-12</t>
        </is>
      </c>
      <c r="W1244" t="inlineStr">
        <is>
          <t>1993-10-06</t>
        </is>
      </c>
      <c r="X1244" t="inlineStr">
        <is>
          <t>1993-10-06</t>
        </is>
      </c>
      <c r="Y1244" t="n">
        <v>417</v>
      </c>
      <c r="Z1244" t="n">
        <v>319</v>
      </c>
      <c r="AA1244" t="n">
        <v>320</v>
      </c>
      <c r="AB1244" t="n">
        <v>2</v>
      </c>
      <c r="AC1244" t="n">
        <v>2</v>
      </c>
      <c r="AD1244" t="n">
        <v>19</v>
      </c>
      <c r="AE1244" t="n">
        <v>19</v>
      </c>
      <c r="AF1244" t="n">
        <v>7</v>
      </c>
      <c r="AG1244" t="n">
        <v>7</v>
      </c>
      <c r="AH1244" t="n">
        <v>5</v>
      </c>
      <c r="AI1244" t="n">
        <v>5</v>
      </c>
      <c r="AJ1244" t="n">
        <v>12</v>
      </c>
      <c r="AK1244" t="n">
        <v>12</v>
      </c>
      <c r="AL1244" t="n">
        <v>1</v>
      </c>
      <c r="AM1244" t="n">
        <v>1</v>
      </c>
      <c r="AN1244" t="n">
        <v>0</v>
      </c>
      <c r="AO1244" t="n">
        <v>0</v>
      </c>
      <c r="AP1244" t="inlineStr">
        <is>
          <t>No</t>
        </is>
      </c>
      <c r="AQ1244" t="inlineStr">
        <is>
          <t>Yes</t>
        </is>
      </c>
      <c r="AR1244">
        <f>HYPERLINK("http://catalog.hathitrust.org/Record/000186914","HathiTrust Record")</f>
        <v/>
      </c>
      <c r="AS1244">
        <f>HYPERLINK("https://creighton-primo.hosted.exlibrisgroup.com/primo-explore/search?tab=default_tab&amp;search_scope=EVERYTHING&amp;vid=01CRU&amp;lang=en_US&amp;offset=0&amp;query=any,contains,991005105759702656","Catalog Record")</f>
        <v/>
      </c>
      <c r="AT1244">
        <f>HYPERLINK("http://www.worldcat.org/oclc/7329498","WorldCat Record")</f>
        <v/>
      </c>
      <c r="AU1244" t="inlineStr">
        <is>
          <t>42843236:eng</t>
        </is>
      </c>
      <c r="AV1244" t="inlineStr">
        <is>
          <t>7329498</t>
        </is>
      </c>
      <c r="AW1244" t="inlineStr">
        <is>
          <t>991005105759702656</t>
        </is>
      </c>
      <c r="AX1244" t="inlineStr">
        <is>
          <t>991005105759702656</t>
        </is>
      </c>
      <c r="AY1244" t="inlineStr">
        <is>
          <t>2271526460002656</t>
        </is>
      </c>
      <c r="AZ1244" t="inlineStr">
        <is>
          <t>BOOK</t>
        </is>
      </c>
      <c r="BB1244" t="inlineStr">
        <is>
          <t>9780471055648</t>
        </is>
      </c>
      <c r="BC1244" t="inlineStr">
        <is>
          <t>32285001773083</t>
        </is>
      </c>
      <c r="BD1244" t="inlineStr">
        <is>
          <t>893501328</t>
        </is>
      </c>
    </row>
    <row r="1245">
      <c r="A1245" t="inlineStr">
        <is>
          <t>No</t>
        </is>
      </c>
      <c r="B1245" t="inlineStr">
        <is>
          <t>QD61 .T4 v.2</t>
        </is>
      </c>
      <c r="C1245" t="inlineStr">
        <is>
          <t>0                      QD 0061000T  4                                                       v.2</t>
        </is>
      </c>
      <c r="D1245" t="inlineStr">
        <is>
          <t>Organic solvents : physical properties and methods of purification / by John A. Riddick, William B. Bunger, and Theodore K. Sakano.</t>
        </is>
      </c>
      <c r="E1245" t="inlineStr">
        <is>
          <t>V. 2</t>
        </is>
      </c>
      <c r="F1245" t="inlineStr">
        <is>
          <t>No</t>
        </is>
      </c>
      <c r="G1245" t="inlineStr">
        <is>
          <t>1</t>
        </is>
      </c>
      <c r="H1245" t="inlineStr">
        <is>
          <t>No</t>
        </is>
      </c>
      <c r="I1245" t="inlineStr">
        <is>
          <t>No</t>
        </is>
      </c>
      <c r="J1245" t="inlineStr">
        <is>
          <t>0</t>
        </is>
      </c>
      <c r="K1245" t="inlineStr">
        <is>
          <t>Riddick, John A. (John Allen), 1903-1989.</t>
        </is>
      </c>
      <c r="L1245" t="inlineStr">
        <is>
          <t>New York : Wiley, c1986.</t>
        </is>
      </c>
      <c r="M1245" t="inlineStr">
        <is>
          <t>1986</t>
        </is>
      </c>
      <c r="N1245" t="inlineStr">
        <is>
          <t>4th ed.</t>
        </is>
      </c>
      <c r="O1245" t="inlineStr">
        <is>
          <t>eng</t>
        </is>
      </c>
      <c r="P1245" t="inlineStr">
        <is>
          <t>nyu</t>
        </is>
      </c>
      <c r="Q1245" t="inlineStr">
        <is>
          <t>Techniques of chemistry ; v. 2</t>
        </is>
      </c>
      <c r="R1245" t="inlineStr">
        <is>
          <t xml:space="preserve">QD </t>
        </is>
      </c>
      <c r="S1245" t="n">
        <v>2</v>
      </c>
      <c r="T1245" t="n">
        <v>2</v>
      </c>
      <c r="U1245" t="inlineStr">
        <is>
          <t>1996-10-25</t>
        </is>
      </c>
      <c r="V1245" t="inlineStr">
        <is>
          <t>1996-10-25</t>
        </is>
      </c>
      <c r="W1245" t="inlineStr">
        <is>
          <t>1993-10-06</t>
        </is>
      </c>
      <c r="X1245" t="inlineStr">
        <is>
          <t>1993-10-06</t>
        </is>
      </c>
      <c r="Y1245" t="n">
        <v>490</v>
      </c>
      <c r="Z1245" t="n">
        <v>360</v>
      </c>
      <c r="AA1245" t="n">
        <v>779</v>
      </c>
      <c r="AB1245" t="n">
        <v>2</v>
      </c>
      <c r="AC1245" t="n">
        <v>6</v>
      </c>
      <c r="AD1245" t="n">
        <v>22</v>
      </c>
      <c r="AE1245" t="n">
        <v>33</v>
      </c>
      <c r="AF1245" t="n">
        <v>8</v>
      </c>
      <c r="AG1245" t="n">
        <v>13</v>
      </c>
      <c r="AH1245" t="n">
        <v>7</v>
      </c>
      <c r="AI1245" t="n">
        <v>8</v>
      </c>
      <c r="AJ1245" t="n">
        <v>14</v>
      </c>
      <c r="AK1245" t="n">
        <v>15</v>
      </c>
      <c r="AL1245" t="n">
        <v>1</v>
      </c>
      <c r="AM1245" t="n">
        <v>5</v>
      </c>
      <c r="AN1245" t="n">
        <v>0</v>
      </c>
      <c r="AO1245" t="n">
        <v>0</v>
      </c>
      <c r="AP1245" t="inlineStr">
        <is>
          <t>No</t>
        </is>
      </c>
      <c r="AQ1245" t="inlineStr">
        <is>
          <t>No</t>
        </is>
      </c>
      <c r="AS1245">
        <f>HYPERLINK("https://creighton-primo.hosted.exlibrisgroup.com/primo-explore/search?tab=default_tab&amp;search_scope=EVERYTHING&amp;vid=01CRU&amp;lang=en_US&amp;offset=0&amp;query=any,contains,991000873589702656","Catalog Record")</f>
        <v/>
      </c>
      <c r="AT1245">
        <f>HYPERLINK("http://www.worldcat.org/oclc/13795041","WorldCat Record")</f>
        <v/>
      </c>
      <c r="AU1245" t="inlineStr">
        <is>
          <t>793893602:eng</t>
        </is>
      </c>
      <c r="AV1245" t="inlineStr">
        <is>
          <t>13795041</t>
        </is>
      </c>
      <c r="AW1245" t="inlineStr">
        <is>
          <t>991000873589702656</t>
        </is>
      </c>
      <c r="AX1245" t="inlineStr">
        <is>
          <t>991000873589702656</t>
        </is>
      </c>
      <c r="AY1245" t="inlineStr">
        <is>
          <t>2269252170002656</t>
        </is>
      </c>
      <c r="AZ1245" t="inlineStr">
        <is>
          <t>BOOK</t>
        </is>
      </c>
      <c r="BB1245" t="inlineStr">
        <is>
          <t>9780471084679</t>
        </is>
      </c>
      <c r="BC1245" t="inlineStr">
        <is>
          <t>32285001773273</t>
        </is>
      </c>
      <c r="BD1245" t="inlineStr">
        <is>
          <t>893872083</t>
        </is>
      </c>
    </row>
    <row r="1246">
      <c r="A1246" t="inlineStr">
        <is>
          <t>No</t>
        </is>
      </c>
      <c r="B1246" t="inlineStr">
        <is>
          <t>QD61 .T4 v.21</t>
        </is>
      </c>
      <c r="C1246" t="inlineStr">
        <is>
          <t>0                      QD 0061000T  4                                                       v.21</t>
        </is>
      </c>
      <c r="D1246" t="inlineStr">
        <is>
          <t>Solubility behavior of organic compounds / David J.W. Grant and Takeru Higuchi.</t>
        </is>
      </c>
      <c r="E1246" t="inlineStr">
        <is>
          <t>V. 21</t>
        </is>
      </c>
      <c r="F1246" t="inlineStr">
        <is>
          <t>No</t>
        </is>
      </c>
      <c r="G1246" t="inlineStr">
        <is>
          <t>1</t>
        </is>
      </c>
      <c r="H1246" t="inlineStr">
        <is>
          <t>No</t>
        </is>
      </c>
      <c r="I1246" t="inlineStr">
        <is>
          <t>No</t>
        </is>
      </c>
      <c r="J1246" t="inlineStr">
        <is>
          <t>0</t>
        </is>
      </c>
      <c r="K1246" t="inlineStr">
        <is>
          <t>Grant, David J. W. (David James William), 1937-</t>
        </is>
      </c>
      <c r="L1246" t="inlineStr">
        <is>
          <t>New York : John Wiley &amp; Sons, c1990.</t>
        </is>
      </c>
      <c r="M1246" t="inlineStr">
        <is>
          <t>1990</t>
        </is>
      </c>
      <c r="O1246" t="inlineStr">
        <is>
          <t>eng</t>
        </is>
      </c>
      <c r="P1246" t="inlineStr">
        <is>
          <t>nyu</t>
        </is>
      </c>
      <c r="Q1246" t="inlineStr">
        <is>
          <t>Techniques of chemistry ; v. 21</t>
        </is>
      </c>
      <c r="R1246" t="inlineStr">
        <is>
          <t xml:space="preserve">QD </t>
        </is>
      </c>
      <c r="S1246" t="n">
        <v>8</v>
      </c>
      <c r="T1246" t="n">
        <v>8</v>
      </c>
      <c r="U1246" t="inlineStr">
        <is>
          <t>2008-09-24</t>
        </is>
      </c>
      <c r="V1246" t="inlineStr">
        <is>
          <t>2008-09-24</t>
        </is>
      </c>
      <c r="W1246" t="inlineStr">
        <is>
          <t>1993-10-06</t>
        </is>
      </c>
      <c r="X1246" t="inlineStr">
        <is>
          <t>1993-10-06</t>
        </is>
      </c>
      <c r="Y1246" t="n">
        <v>383</v>
      </c>
      <c r="Z1246" t="n">
        <v>290</v>
      </c>
      <c r="AA1246" t="n">
        <v>298</v>
      </c>
      <c r="AB1246" t="n">
        <v>2</v>
      </c>
      <c r="AC1246" t="n">
        <v>2</v>
      </c>
      <c r="AD1246" t="n">
        <v>16</v>
      </c>
      <c r="AE1246" t="n">
        <v>16</v>
      </c>
      <c r="AF1246" t="n">
        <v>6</v>
      </c>
      <c r="AG1246" t="n">
        <v>6</v>
      </c>
      <c r="AH1246" t="n">
        <v>6</v>
      </c>
      <c r="AI1246" t="n">
        <v>6</v>
      </c>
      <c r="AJ1246" t="n">
        <v>10</v>
      </c>
      <c r="AK1246" t="n">
        <v>10</v>
      </c>
      <c r="AL1246" t="n">
        <v>1</v>
      </c>
      <c r="AM1246" t="n">
        <v>1</v>
      </c>
      <c r="AN1246" t="n">
        <v>0</v>
      </c>
      <c r="AO1246" t="n">
        <v>0</v>
      </c>
      <c r="AP1246" t="inlineStr">
        <is>
          <t>No</t>
        </is>
      </c>
      <c r="AQ1246" t="inlineStr">
        <is>
          <t>Yes</t>
        </is>
      </c>
      <c r="AR1246">
        <f>HYPERLINK("http://catalog.hathitrust.org/Record/002171017","HathiTrust Record")</f>
        <v/>
      </c>
      <c r="AS1246">
        <f>HYPERLINK("https://creighton-primo.hosted.exlibrisgroup.com/primo-explore/search?tab=default_tab&amp;search_scope=EVERYTHING&amp;vid=01CRU&amp;lang=en_US&amp;offset=0&amp;query=any,contains,991001731579702656","Catalog Record")</f>
        <v/>
      </c>
      <c r="AT1246">
        <f>HYPERLINK("http://www.worldcat.org/oclc/23256739","WorldCat Record")</f>
        <v/>
      </c>
      <c r="AU1246" t="inlineStr">
        <is>
          <t>24140212:eng</t>
        </is>
      </c>
      <c r="AV1246" t="inlineStr">
        <is>
          <t>23256739</t>
        </is>
      </c>
      <c r="AW1246" t="inlineStr">
        <is>
          <t>991001731579702656</t>
        </is>
      </c>
      <c r="AX1246" t="inlineStr">
        <is>
          <t>991001731579702656</t>
        </is>
      </c>
      <c r="AY1246" t="inlineStr">
        <is>
          <t>2261247360002656</t>
        </is>
      </c>
      <c r="AZ1246" t="inlineStr">
        <is>
          <t>BOOK</t>
        </is>
      </c>
      <c r="BB1246" t="inlineStr">
        <is>
          <t>9780471613145</t>
        </is>
      </c>
      <c r="BC1246" t="inlineStr">
        <is>
          <t>32285001773034</t>
        </is>
      </c>
      <c r="BD1246" t="inlineStr">
        <is>
          <t>893244345</t>
        </is>
      </c>
    </row>
    <row r="1247">
      <c r="A1247" t="inlineStr">
        <is>
          <t>No</t>
        </is>
      </c>
      <c r="B1247" t="inlineStr">
        <is>
          <t>QD61 .T4 v.23</t>
        </is>
      </c>
      <c r="C1247" t="inlineStr">
        <is>
          <t>0                      QD 0061000T  4                                                       v.23</t>
        </is>
      </c>
      <c r="D1247" t="inlineStr">
        <is>
          <t>Laser techniques in chemistry / edited by Anne B. Myers and Thomas R. Rizzo.</t>
        </is>
      </c>
      <c r="E1247" t="inlineStr">
        <is>
          <t>V. 23</t>
        </is>
      </c>
      <c r="F1247" t="inlineStr">
        <is>
          <t>No</t>
        </is>
      </c>
      <c r="G1247" t="inlineStr">
        <is>
          <t>1</t>
        </is>
      </c>
      <c r="H1247" t="inlineStr">
        <is>
          <t>No</t>
        </is>
      </c>
      <c r="I1247" t="inlineStr">
        <is>
          <t>No</t>
        </is>
      </c>
      <c r="J1247" t="inlineStr">
        <is>
          <t>0</t>
        </is>
      </c>
      <c r="L1247" t="inlineStr">
        <is>
          <t>New York : Wiley, c1995.</t>
        </is>
      </c>
      <c r="M1247" t="inlineStr">
        <is>
          <t>1995</t>
        </is>
      </c>
      <c r="O1247" t="inlineStr">
        <is>
          <t>eng</t>
        </is>
      </c>
      <c r="P1247" t="inlineStr">
        <is>
          <t>nyu</t>
        </is>
      </c>
      <c r="Q1247" t="inlineStr">
        <is>
          <t>Techniques of chemistry ; v. 23</t>
        </is>
      </c>
      <c r="R1247" t="inlineStr">
        <is>
          <t xml:space="preserve">QD </t>
        </is>
      </c>
      <c r="S1247" t="n">
        <v>2</v>
      </c>
      <c r="T1247" t="n">
        <v>2</v>
      </c>
      <c r="U1247" t="inlineStr">
        <is>
          <t>1996-09-19</t>
        </is>
      </c>
      <c r="V1247" t="inlineStr">
        <is>
          <t>1996-09-19</t>
        </is>
      </c>
      <c r="W1247" t="inlineStr">
        <is>
          <t>1995-08-22</t>
        </is>
      </c>
      <c r="X1247" t="inlineStr">
        <is>
          <t>1995-08-22</t>
        </is>
      </c>
      <c r="Y1247" t="n">
        <v>364</v>
      </c>
      <c r="Z1247" t="n">
        <v>289</v>
      </c>
      <c r="AA1247" t="n">
        <v>295</v>
      </c>
      <c r="AB1247" t="n">
        <v>1</v>
      </c>
      <c r="AC1247" t="n">
        <v>1</v>
      </c>
      <c r="AD1247" t="n">
        <v>14</v>
      </c>
      <c r="AE1247" t="n">
        <v>14</v>
      </c>
      <c r="AF1247" t="n">
        <v>8</v>
      </c>
      <c r="AG1247" t="n">
        <v>8</v>
      </c>
      <c r="AH1247" t="n">
        <v>6</v>
      </c>
      <c r="AI1247" t="n">
        <v>6</v>
      </c>
      <c r="AJ1247" t="n">
        <v>8</v>
      </c>
      <c r="AK1247" t="n">
        <v>8</v>
      </c>
      <c r="AL1247" t="n">
        <v>0</v>
      </c>
      <c r="AM1247" t="n">
        <v>0</v>
      </c>
      <c r="AN1247" t="n">
        <v>0</v>
      </c>
      <c r="AO1247" t="n">
        <v>0</v>
      </c>
      <c r="AP1247" t="inlineStr">
        <is>
          <t>No</t>
        </is>
      </c>
      <c r="AQ1247" t="inlineStr">
        <is>
          <t>Yes</t>
        </is>
      </c>
      <c r="AR1247">
        <f>HYPERLINK("http://catalog.hathitrust.org/Record/002987878","HathiTrust Record")</f>
        <v/>
      </c>
      <c r="AS1247">
        <f>HYPERLINK("https://creighton-primo.hosted.exlibrisgroup.com/primo-explore/search?tab=default_tab&amp;search_scope=EVERYTHING&amp;vid=01CRU&amp;lang=en_US&amp;offset=0&amp;query=any,contains,991002518739702656","Catalog Record")</f>
        <v/>
      </c>
      <c r="AT1247">
        <f>HYPERLINK("http://www.worldcat.org/oclc/32754011","WorldCat Record")</f>
        <v/>
      </c>
      <c r="AU1247" t="inlineStr">
        <is>
          <t>350530137:eng</t>
        </is>
      </c>
      <c r="AV1247" t="inlineStr">
        <is>
          <t>32754011</t>
        </is>
      </c>
      <c r="AW1247" t="inlineStr">
        <is>
          <t>991002518739702656</t>
        </is>
      </c>
      <c r="AX1247" t="inlineStr">
        <is>
          <t>991002518739702656</t>
        </is>
      </c>
      <c r="AY1247" t="inlineStr">
        <is>
          <t>2255915010002656</t>
        </is>
      </c>
      <c r="AZ1247" t="inlineStr">
        <is>
          <t>BOOK</t>
        </is>
      </c>
      <c r="BB1247" t="inlineStr">
        <is>
          <t>9780471597698</t>
        </is>
      </c>
      <c r="BC1247" t="inlineStr">
        <is>
          <t>32285002080645</t>
        </is>
      </c>
      <c r="BD1247" t="inlineStr">
        <is>
          <t>893352371</t>
        </is>
      </c>
    </row>
    <row r="1248">
      <c r="A1248" t="inlineStr">
        <is>
          <t>No</t>
        </is>
      </c>
      <c r="B1248" t="inlineStr">
        <is>
          <t>QD63.L3 L37</t>
        </is>
      </c>
      <c r="C1248" t="inlineStr">
        <is>
          <t>0                      QD 0063000L  3                  L  37</t>
        </is>
      </c>
      <c r="D1248" t="inlineStr">
        <is>
          <t>Laser-induced chemical processes / edited by Jeffrey I. Steinfeld.</t>
        </is>
      </c>
      <c r="F1248" t="inlineStr">
        <is>
          <t>No</t>
        </is>
      </c>
      <c r="G1248" t="inlineStr">
        <is>
          <t>1</t>
        </is>
      </c>
      <c r="H1248" t="inlineStr">
        <is>
          <t>No</t>
        </is>
      </c>
      <c r="I1248" t="inlineStr">
        <is>
          <t>No</t>
        </is>
      </c>
      <c r="J1248" t="inlineStr">
        <is>
          <t>0</t>
        </is>
      </c>
      <c r="L1248" t="inlineStr">
        <is>
          <t>New York : Plenum Press, c1981.</t>
        </is>
      </c>
      <c r="M1248" t="inlineStr">
        <is>
          <t>1981</t>
        </is>
      </c>
      <c r="O1248" t="inlineStr">
        <is>
          <t>eng</t>
        </is>
      </c>
      <c r="P1248" t="inlineStr">
        <is>
          <t>nyu</t>
        </is>
      </c>
      <c r="R1248" t="inlineStr">
        <is>
          <t xml:space="preserve">QD </t>
        </is>
      </c>
      <c r="S1248" t="n">
        <v>4</v>
      </c>
      <c r="T1248" t="n">
        <v>4</v>
      </c>
      <c r="U1248" t="inlineStr">
        <is>
          <t>1997-11-19</t>
        </is>
      </c>
      <c r="V1248" t="inlineStr">
        <is>
          <t>1997-11-19</t>
        </is>
      </c>
      <c r="W1248" t="inlineStr">
        <is>
          <t>1993-01-18</t>
        </is>
      </c>
      <c r="X1248" t="inlineStr">
        <is>
          <t>1993-01-18</t>
        </is>
      </c>
      <c r="Y1248" t="n">
        <v>397</v>
      </c>
      <c r="Z1248" t="n">
        <v>289</v>
      </c>
      <c r="AA1248" t="n">
        <v>310</v>
      </c>
      <c r="AB1248" t="n">
        <v>3</v>
      </c>
      <c r="AC1248" t="n">
        <v>3</v>
      </c>
      <c r="AD1248" t="n">
        <v>9</v>
      </c>
      <c r="AE1248" t="n">
        <v>10</v>
      </c>
      <c r="AF1248" t="n">
        <v>3</v>
      </c>
      <c r="AG1248" t="n">
        <v>4</v>
      </c>
      <c r="AH1248" t="n">
        <v>3</v>
      </c>
      <c r="AI1248" t="n">
        <v>3</v>
      </c>
      <c r="AJ1248" t="n">
        <v>5</v>
      </c>
      <c r="AK1248" t="n">
        <v>6</v>
      </c>
      <c r="AL1248" t="n">
        <v>2</v>
      </c>
      <c r="AM1248" t="n">
        <v>2</v>
      </c>
      <c r="AN1248" t="n">
        <v>0</v>
      </c>
      <c r="AO1248" t="n">
        <v>0</v>
      </c>
      <c r="AP1248" t="inlineStr">
        <is>
          <t>No</t>
        </is>
      </c>
      <c r="AQ1248" t="inlineStr">
        <is>
          <t>Yes</t>
        </is>
      </c>
      <c r="AR1248">
        <f>HYPERLINK("http://catalog.hathitrust.org/Record/000744213","HathiTrust Record")</f>
        <v/>
      </c>
      <c r="AS1248">
        <f>HYPERLINK("https://creighton-primo.hosted.exlibrisgroup.com/primo-explore/search?tab=default_tab&amp;search_scope=EVERYTHING&amp;vid=01CRU&amp;lang=en_US&amp;offset=0&amp;query=any,contains,991005021559702656","Catalog Record")</f>
        <v/>
      </c>
      <c r="AT1248">
        <f>HYPERLINK("http://www.worldcat.org/oclc/6649908","WorldCat Record")</f>
        <v/>
      </c>
      <c r="AU1248" t="inlineStr">
        <is>
          <t>437637:eng</t>
        </is>
      </c>
      <c r="AV1248" t="inlineStr">
        <is>
          <t>6649908</t>
        </is>
      </c>
      <c r="AW1248" t="inlineStr">
        <is>
          <t>991005021559702656</t>
        </is>
      </c>
      <c r="AX1248" t="inlineStr">
        <is>
          <t>991005021559702656</t>
        </is>
      </c>
      <c r="AY1248" t="inlineStr">
        <is>
          <t>2265788080002656</t>
        </is>
      </c>
      <c r="AZ1248" t="inlineStr">
        <is>
          <t>BOOK</t>
        </is>
      </c>
      <c r="BB1248" t="inlineStr">
        <is>
          <t>9780306405877</t>
        </is>
      </c>
      <c r="BC1248" t="inlineStr">
        <is>
          <t>32285001399848</t>
        </is>
      </c>
      <c r="BD1248" t="inlineStr">
        <is>
          <t>893344527</t>
        </is>
      </c>
    </row>
    <row r="1249">
      <c r="A1249" t="inlineStr">
        <is>
          <t>No</t>
        </is>
      </c>
      <c r="B1249" t="inlineStr">
        <is>
          <t>QD63.L3 L39</t>
        </is>
      </c>
      <c r="C1249" t="inlineStr">
        <is>
          <t>0                      QD 0063000L  3                  L  39</t>
        </is>
      </c>
      <c r="D1249" t="inlineStr">
        <is>
          <t>Lasers in chemical analysis / edited by Gary M. Hieftje, John C. Travis, Fred E. Lytle.</t>
        </is>
      </c>
      <c r="F1249" t="inlineStr">
        <is>
          <t>No</t>
        </is>
      </c>
      <c r="G1249" t="inlineStr">
        <is>
          <t>1</t>
        </is>
      </c>
      <c r="H1249" t="inlineStr">
        <is>
          <t>No</t>
        </is>
      </c>
      <c r="I1249" t="inlineStr">
        <is>
          <t>No</t>
        </is>
      </c>
      <c r="J1249" t="inlineStr">
        <is>
          <t>0</t>
        </is>
      </c>
      <c r="L1249" t="inlineStr">
        <is>
          <t>Clifton, N.J. : Humana Press, c1981.</t>
        </is>
      </c>
      <c r="M1249" t="inlineStr">
        <is>
          <t>1981</t>
        </is>
      </c>
      <c r="O1249" t="inlineStr">
        <is>
          <t>eng</t>
        </is>
      </c>
      <c r="P1249" t="inlineStr">
        <is>
          <t>nju</t>
        </is>
      </c>
      <c r="Q1249" t="inlineStr">
        <is>
          <t>Contemporary instrumentation and analysis</t>
        </is>
      </c>
      <c r="R1249" t="inlineStr">
        <is>
          <t xml:space="preserve">QD </t>
        </is>
      </c>
      <c r="S1249" t="n">
        <v>4</v>
      </c>
      <c r="T1249" t="n">
        <v>4</v>
      </c>
      <c r="U1249" t="inlineStr">
        <is>
          <t>1997-11-19</t>
        </is>
      </c>
      <c r="V1249" t="inlineStr">
        <is>
          <t>1997-11-19</t>
        </is>
      </c>
      <c r="W1249" t="inlineStr">
        <is>
          <t>1993-01-18</t>
        </is>
      </c>
      <c r="X1249" t="inlineStr">
        <is>
          <t>1993-01-18</t>
        </is>
      </c>
      <c r="Y1249" t="n">
        <v>233</v>
      </c>
      <c r="Z1249" t="n">
        <v>160</v>
      </c>
      <c r="AA1249" t="n">
        <v>180</v>
      </c>
      <c r="AB1249" t="n">
        <v>2</v>
      </c>
      <c r="AC1249" t="n">
        <v>2</v>
      </c>
      <c r="AD1249" t="n">
        <v>5</v>
      </c>
      <c r="AE1249" t="n">
        <v>5</v>
      </c>
      <c r="AF1249" t="n">
        <v>1</v>
      </c>
      <c r="AG1249" t="n">
        <v>1</v>
      </c>
      <c r="AH1249" t="n">
        <v>3</v>
      </c>
      <c r="AI1249" t="n">
        <v>3</v>
      </c>
      <c r="AJ1249" t="n">
        <v>2</v>
      </c>
      <c r="AK1249" t="n">
        <v>2</v>
      </c>
      <c r="AL1249" t="n">
        <v>1</v>
      </c>
      <c r="AM1249" t="n">
        <v>1</v>
      </c>
      <c r="AN1249" t="n">
        <v>0</v>
      </c>
      <c r="AO1249" t="n">
        <v>0</v>
      </c>
      <c r="AP1249" t="inlineStr">
        <is>
          <t>No</t>
        </is>
      </c>
      <c r="AQ1249" t="inlineStr">
        <is>
          <t>No</t>
        </is>
      </c>
      <c r="AS1249">
        <f>HYPERLINK("https://creighton-primo.hosted.exlibrisgroup.com/primo-explore/search?tab=default_tab&amp;search_scope=EVERYTHING&amp;vid=01CRU&amp;lang=en_US&amp;offset=0&amp;query=any,contains,991005099759702656","Catalog Record")</f>
        <v/>
      </c>
      <c r="AT1249">
        <f>HYPERLINK("http://www.worldcat.org/oclc/7282049","WorldCat Record")</f>
        <v/>
      </c>
      <c r="AU1249" t="inlineStr">
        <is>
          <t>353661841:eng</t>
        </is>
      </c>
      <c r="AV1249" t="inlineStr">
        <is>
          <t>7282049</t>
        </is>
      </c>
      <c r="AW1249" t="inlineStr">
        <is>
          <t>991005099759702656</t>
        </is>
      </c>
      <c r="AX1249" t="inlineStr">
        <is>
          <t>991005099759702656</t>
        </is>
      </c>
      <c r="AY1249" t="inlineStr">
        <is>
          <t>2257988860002656</t>
        </is>
      </c>
      <c r="AZ1249" t="inlineStr">
        <is>
          <t>BOOK</t>
        </is>
      </c>
      <c r="BB1249" t="inlineStr">
        <is>
          <t>9780896030275</t>
        </is>
      </c>
      <c r="BC1249" t="inlineStr">
        <is>
          <t>32285001399855</t>
        </is>
      </c>
      <c r="BD1249" t="inlineStr">
        <is>
          <t>893719762</t>
        </is>
      </c>
    </row>
    <row r="1250">
      <c r="A1250" t="inlineStr">
        <is>
          <t>No</t>
        </is>
      </c>
      <c r="B1250" t="inlineStr">
        <is>
          <t>QD63.S4 M44 1999</t>
        </is>
      </c>
      <c r="C1250" t="inlineStr">
        <is>
          <t>0                      QD 0063000S  4                  M  44          1999</t>
        </is>
      </c>
      <c r="D1250" t="inlineStr">
        <is>
          <t>Chemical separations : principles, techniques, and experiments / Clifton E. Meloan.</t>
        </is>
      </c>
      <c r="F1250" t="inlineStr">
        <is>
          <t>No</t>
        </is>
      </c>
      <c r="G1250" t="inlineStr">
        <is>
          <t>1</t>
        </is>
      </c>
      <c r="H1250" t="inlineStr">
        <is>
          <t>No</t>
        </is>
      </c>
      <c r="I1250" t="inlineStr">
        <is>
          <t>No</t>
        </is>
      </c>
      <c r="J1250" t="inlineStr">
        <is>
          <t>0</t>
        </is>
      </c>
      <c r="K1250" t="inlineStr">
        <is>
          <t>Meloan, Clifton E.</t>
        </is>
      </c>
      <c r="L1250" t="inlineStr">
        <is>
          <t>New York : Wiley, c1999.</t>
        </is>
      </c>
      <c r="M1250" t="inlineStr">
        <is>
          <t>1999</t>
        </is>
      </c>
      <c r="O1250" t="inlineStr">
        <is>
          <t>eng</t>
        </is>
      </c>
      <c r="P1250" t="inlineStr">
        <is>
          <t>nyu</t>
        </is>
      </c>
      <c r="R1250" t="inlineStr">
        <is>
          <t xml:space="preserve">QD </t>
        </is>
      </c>
      <c r="S1250" t="n">
        <v>3</v>
      </c>
      <c r="T1250" t="n">
        <v>3</v>
      </c>
      <c r="U1250" t="inlineStr">
        <is>
          <t>2004-04-25</t>
        </is>
      </c>
      <c r="V1250" t="inlineStr">
        <is>
          <t>2004-04-25</t>
        </is>
      </c>
      <c r="W1250" t="inlineStr">
        <is>
          <t>2001-02-22</t>
        </is>
      </c>
      <c r="X1250" t="inlineStr">
        <is>
          <t>2001-02-22</t>
        </is>
      </c>
      <c r="Y1250" t="n">
        <v>312</v>
      </c>
      <c r="Z1250" t="n">
        <v>223</v>
      </c>
      <c r="AA1250" t="n">
        <v>228</v>
      </c>
      <c r="AB1250" t="n">
        <v>4</v>
      </c>
      <c r="AC1250" t="n">
        <v>4</v>
      </c>
      <c r="AD1250" t="n">
        <v>11</v>
      </c>
      <c r="AE1250" t="n">
        <v>11</v>
      </c>
      <c r="AF1250" t="n">
        <v>4</v>
      </c>
      <c r="AG1250" t="n">
        <v>4</v>
      </c>
      <c r="AH1250" t="n">
        <v>2</v>
      </c>
      <c r="AI1250" t="n">
        <v>2</v>
      </c>
      <c r="AJ1250" t="n">
        <v>4</v>
      </c>
      <c r="AK1250" t="n">
        <v>4</v>
      </c>
      <c r="AL1250" t="n">
        <v>3</v>
      </c>
      <c r="AM1250" t="n">
        <v>3</v>
      </c>
      <c r="AN1250" t="n">
        <v>0</v>
      </c>
      <c r="AO1250" t="n">
        <v>0</v>
      </c>
      <c r="AP1250" t="inlineStr">
        <is>
          <t>No</t>
        </is>
      </c>
      <c r="AQ1250" t="inlineStr">
        <is>
          <t>Yes</t>
        </is>
      </c>
      <c r="AR1250">
        <f>HYPERLINK("http://catalog.hathitrust.org/Record/003505564","HathiTrust Record")</f>
        <v/>
      </c>
      <c r="AS1250">
        <f>HYPERLINK("https://creighton-primo.hosted.exlibrisgroup.com/primo-explore/search?tab=default_tab&amp;search_scope=EVERYTHING&amp;vid=01CRU&amp;lang=en_US&amp;offset=0&amp;query=any,contains,991003475659702656","Catalog Record")</f>
        <v/>
      </c>
      <c r="AT1250">
        <f>HYPERLINK("http://www.worldcat.org/oclc/41580619","WorldCat Record")</f>
        <v/>
      </c>
      <c r="AU1250" t="inlineStr">
        <is>
          <t>837016537:eng</t>
        </is>
      </c>
      <c r="AV1250" t="inlineStr">
        <is>
          <t>41580619</t>
        </is>
      </c>
      <c r="AW1250" t="inlineStr">
        <is>
          <t>991003475659702656</t>
        </is>
      </c>
      <c r="AX1250" t="inlineStr">
        <is>
          <t>991003475659702656</t>
        </is>
      </c>
      <c r="AY1250" t="inlineStr">
        <is>
          <t>2267838810002656</t>
        </is>
      </c>
      <c r="AZ1250" t="inlineStr">
        <is>
          <t>BOOK</t>
        </is>
      </c>
      <c r="BB1250" t="inlineStr">
        <is>
          <t>9780471351979</t>
        </is>
      </c>
      <c r="BC1250" t="inlineStr">
        <is>
          <t>32285004296462</t>
        </is>
      </c>
      <c r="BD1250" t="inlineStr">
        <is>
          <t>893324106</t>
        </is>
      </c>
    </row>
    <row r="1251">
      <c r="A1251" t="inlineStr">
        <is>
          <t>No</t>
        </is>
      </c>
      <c r="B1251" t="inlineStr">
        <is>
          <t>QD701 .T45 2007</t>
        </is>
      </c>
      <c r="C1251" t="inlineStr">
        <is>
          <t>0                      QD 0701000T  45          2007</t>
        </is>
      </c>
      <c r="D1251" t="inlineStr">
        <is>
          <t>Laser chemistry : spectroscopy, dynamics and applications / Helmut H. Telle, Angel González Ureña, Robert J. Donovan.</t>
        </is>
      </c>
      <c r="F1251" t="inlineStr">
        <is>
          <t>No</t>
        </is>
      </c>
      <c r="G1251" t="inlineStr">
        <is>
          <t>1</t>
        </is>
      </c>
      <c r="H1251" t="inlineStr">
        <is>
          <t>No</t>
        </is>
      </c>
      <c r="I1251" t="inlineStr">
        <is>
          <t>No</t>
        </is>
      </c>
      <c r="J1251" t="inlineStr">
        <is>
          <t>0</t>
        </is>
      </c>
      <c r="K1251" t="inlineStr">
        <is>
          <t>Telle, Helmut H.</t>
        </is>
      </c>
      <c r="L1251" t="inlineStr">
        <is>
          <t>Chichester, West Sussex, England ; Hoboken, NJ : John Wiley &amp; Sons : c2007.</t>
        </is>
      </c>
      <c r="M1251" t="inlineStr">
        <is>
          <t>2007</t>
        </is>
      </c>
      <c r="O1251" t="inlineStr">
        <is>
          <t>eng</t>
        </is>
      </c>
      <c r="P1251" t="inlineStr">
        <is>
          <t>enk</t>
        </is>
      </c>
      <c r="R1251" t="inlineStr">
        <is>
          <t xml:space="preserve">QD </t>
        </is>
      </c>
      <c r="S1251" t="n">
        <v>3</v>
      </c>
      <c r="T1251" t="n">
        <v>3</v>
      </c>
      <c r="U1251" t="inlineStr">
        <is>
          <t>2010-03-31</t>
        </is>
      </c>
      <c r="V1251" t="inlineStr">
        <is>
          <t>2010-03-31</t>
        </is>
      </c>
      <c r="W1251" t="inlineStr">
        <is>
          <t>2008-04-01</t>
        </is>
      </c>
      <c r="X1251" t="inlineStr">
        <is>
          <t>2008-04-01</t>
        </is>
      </c>
      <c r="Y1251" t="n">
        <v>318</v>
      </c>
      <c r="Z1251" t="n">
        <v>212</v>
      </c>
      <c r="AA1251" t="n">
        <v>240</v>
      </c>
      <c r="AB1251" t="n">
        <v>2</v>
      </c>
      <c r="AC1251" t="n">
        <v>2</v>
      </c>
      <c r="AD1251" t="n">
        <v>13</v>
      </c>
      <c r="AE1251" t="n">
        <v>13</v>
      </c>
      <c r="AF1251" t="n">
        <v>5</v>
      </c>
      <c r="AG1251" t="n">
        <v>5</v>
      </c>
      <c r="AH1251" t="n">
        <v>2</v>
      </c>
      <c r="AI1251" t="n">
        <v>2</v>
      </c>
      <c r="AJ1251" t="n">
        <v>8</v>
      </c>
      <c r="AK1251" t="n">
        <v>8</v>
      </c>
      <c r="AL1251" t="n">
        <v>1</v>
      </c>
      <c r="AM1251" t="n">
        <v>1</v>
      </c>
      <c r="AN1251" t="n">
        <v>0</v>
      </c>
      <c r="AO1251" t="n">
        <v>0</v>
      </c>
      <c r="AP1251" t="inlineStr">
        <is>
          <t>No</t>
        </is>
      </c>
      <c r="AQ1251" t="inlineStr">
        <is>
          <t>Yes</t>
        </is>
      </c>
      <c r="AR1251">
        <f>HYPERLINK("http://catalog.hathitrust.org/Record/009540160","HathiTrust Record")</f>
        <v/>
      </c>
      <c r="AS1251">
        <f>HYPERLINK("https://creighton-primo.hosted.exlibrisgroup.com/primo-explore/search?tab=default_tab&amp;search_scope=EVERYTHING&amp;vid=01CRU&amp;lang=en_US&amp;offset=0&amp;query=any,contains,991005200579702656","Catalog Record")</f>
        <v/>
      </c>
      <c r="AT1251">
        <f>HYPERLINK("http://www.worldcat.org/oclc/85898979","WorldCat Record")</f>
        <v/>
      </c>
      <c r="AU1251" t="inlineStr">
        <is>
          <t>797235381:eng</t>
        </is>
      </c>
      <c r="AV1251" t="inlineStr">
        <is>
          <t>85898979</t>
        </is>
      </c>
      <c r="AW1251" t="inlineStr">
        <is>
          <t>991005200579702656</t>
        </is>
      </c>
      <c r="AX1251" t="inlineStr">
        <is>
          <t>991005200579702656</t>
        </is>
      </c>
      <c r="AY1251" t="inlineStr">
        <is>
          <t>2261214830002656</t>
        </is>
      </c>
      <c r="AZ1251" t="inlineStr">
        <is>
          <t>BOOK</t>
        </is>
      </c>
      <c r="BB1251" t="inlineStr">
        <is>
          <t>9780471485704</t>
        </is>
      </c>
      <c r="BC1251" t="inlineStr">
        <is>
          <t>32285005399935</t>
        </is>
      </c>
      <c r="BD1251" t="inlineStr">
        <is>
          <t>893446646</t>
        </is>
      </c>
    </row>
    <row r="1252">
      <c r="A1252" t="inlineStr">
        <is>
          <t>No</t>
        </is>
      </c>
      <c r="B1252" t="inlineStr">
        <is>
          <t>QD708.2 .O96 1987</t>
        </is>
      </c>
      <c r="C1252" t="inlineStr">
        <is>
          <t>0                      QD 0708200O  96          1987</t>
        </is>
      </c>
      <c r="D1252" t="inlineStr">
        <is>
          <t>Organic photochemistry / J.M. Coxon, B. Halton.</t>
        </is>
      </c>
      <c r="F1252" t="inlineStr">
        <is>
          <t>No</t>
        </is>
      </c>
      <c r="G1252" t="inlineStr">
        <is>
          <t>1</t>
        </is>
      </c>
      <c r="H1252" t="inlineStr">
        <is>
          <t>No</t>
        </is>
      </c>
      <c r="I1252" t="inlineStr">
        <is>
          <t>No</t>
        </is>
      </c>
      <c r="J1252" t="inlineStr">
        <is>
          <t>0</t>
        </is>
      </c>
      <c r="K1252" t="inlineStr">
        <is>
          <t>Coxon, J. M. (James Morriss), 1941-</t>
        </is>
      </c>
      <c r="L1252" t="inlineStr">
        <is>
          <t>Cambridge [Cambridgeshire] ; New York : Cambridge University Press, 1987.</t>
        </is>
      </c>
      <c r="M1252" t="inlineStr">
        <is>
          <t>1987</t>
        </is>
      </c>
      <c r="N1252" t="inlineStr">
        <is>
          <t>2nd ed.</t>
        </is>
      </c>
      <c r="O1252" t="inlineStr">
        <is>
          <t>eng</t>
        </is>
      </c>
      <c r="P1252" t="inlineStr">
        <is>
          <t>enk</t>
        </is>
      </c>
      <c r="Q1252" t="inlineStr">
        <is>
          <t>Cambridge texts in chemistry and biochemistry</t>
        </is>
      </c>
      <c r="R1252" t="inlineStr">
        <is>
          <t xml:space="preserve">QD </t>
        </is>
      </c>
      <c r="S1252" t="n">
        <v>3</v>
      </c>
      <c r="T1252" t="n">
        <v>3</v>
      </c>
      <c r="U1252" t="inlineStr">
        <is>
          <t>2009-09-02</t>
        </is>
      </c>
      <c r="V1252" t="inlineStr">
        <is>
          <t>2009-09-02</t>
        </is>
      </c>
      <c r="W1252" t="inlineStr">
        <is>
          <t>1993-02-11</t>
        </is>
      </c>
      <c r="X1252" t="inlineStr">
        <is>
          <t>1993-02-11</t>
        </is>
      </c>
      <c r="Y1252" t="n">
        <v>244</v>
      </c>
      <c r="Z1252" t="n">
        <v>177</v>
      </c>
      <c r="AA1252" t="n">
        <v>359</v>
      </c>
      <c r="AB1252" t="n">
        <v>2</v>
      </c>
      <c r="AC1252" t="n">
        <v>4</v>
      </c>
      <c r="AD1252" t="n">
        <v>7</v>
      </c>
      <c r="AE1252" t="n">
        <v>15</v>
      </c>
      <c r="AF1252" t="n">
        <v>1</v>
      </c>
      <c r="AG1252" t="n">
        <v>3</v>
      </c>
      <c r="AH1252" t="n">
        <v>2</v>
      </c>
      <c r="AI1252" t="n">
        <v>4</v>
      </c>
      <c r="AJ1252" t="n">
        <v>6</v>
      </c>
      <c r="AK1252" t="n">
        <v>8</v>
      </c>
      <c r="AL1252" t="n">
        <v>1</v>
      </c>
      <c r="AM1252" t="n">
        <v>3</v>
      </c>
      <c r="AN1252" t="n">
        <v>0</v>
      </c>
      <c r="AO1252" t="n">
        <v>0</v>
      </c>
      <c r="AP1252" t="inlineStr">
        <is>
          <t>No</t>
        </is>
      </c>
      <c r="AQ1252" t="inlineStr">
        <is>
          <t>No</t>
        </is>
      </c>
      <c r="AS1252">
        <f>HYPERLINK("https://creighton-primo.hosted.exlibrisgroup.com/primo-explore/search?tab=default_tab&amp;search_scope=EVERYTHING&amp;vid=01CRU&amp;lang=en_US&amp;offset=0&amp;query=any,contains,991000722669702656","Catalog Record")</f>
        <v/>
      </c>
      <c r="AT1252">
        <f>HYPERLINK("http://www.worldcat.org/oclc/12668797","WorldCat Record")</f>
        <v/>
      </c>
      <c r="AU1252" t="inlineStr">
        <is>
          <t>503245:eng</t>
        </is>
      </c>
      <c r="AV1252" t="inlineStr">
        <is>
          <t>12668797</t>
        </is>
      </c>
      <c r="AW1252" t="inlineStr">
        <is>
          <t>991000722669702656</t>
        </is>
      </c>
      <c r="AX1252" t="inlineStr">
        <is>
          <t>991000722669702656</t>
        </is>
      </c>
      <c r="AY1252" t="inlineStr">
        <is>
          <t>2266464510002656</t>
        </is>
      </c>
      <c r="AZ1252" t="inlineStr">
        <is>
          <t>BOOK</t>
        </is>
      </c>
      <c r="BB1252" t="inlineStr">
        <is>
          <t>9780521320672</t>
        </is>
      </c>
      <c r="BC1252" t="inlineStr">
        <is>
          <t>32285001517779</t>
        </is>
      </c>
      <c r="BD1252" t="inlineStr">
        <is>
          <t>893626420</t>
        </is>
      </c>
    </row>
    <row r="1253">
      <c r="A1253" t="inlineStr">
        <is>
          <t>No</t>
        </is>
      </c>
      <c r="B1253" t="inlineStr">
        <is>
          <t>QD708.2 .W39 1988</t>
        </is>
      </c>
      <c r="C1253" t="inlineStr">
        <is>
          <t>0                      QD 0708200W  39          1988</t>
        </is>
      </c>
      <c r="D1253" t="inlineStr">
        <is>
          <t>Principles and applications of photochemistry / Richard P. Wayne.</t>
        </is>
      </c>
      <c r="F1253" t="inlineStr">
        <is>
          <t>No</t>
        </is>
      </c>
      <c r="G1253" t="inlineStr">
        <is>
          <t>1</t>
        </is>
      </c>
      <c r="H1253" t="inlineStr">
        <is>
          <t>No</t>
        </is>
      </c>
      <c r="I1253" t="inlineStr">
        <is>
          <t>No</t>
        </is>
      </c>
      <c r="J1253" t="inlineStr">
        <is>
          <t>0</t>
        </is>
      </c>
      <c r="K1253" t="inlineStr">
        <is>
          <t>Wayne, Richard P. (Richard Peer)</t>
        </is>
      </c>
      <c r="L1253" t="inlineStr">
        <is>
          <t>Oxford [England] ; New York : Oxford University Press, 1988.</t>
        </is>
      </c>
      <c r="M1253" t="inlineStr">
        <is>
          <t>1988</t>
        </is>
      </c>
      <c r="O1253" t="inlineStr">
        <is>
          <t>eng</t>
        </is>
      </c>
      <c r="P1253" t="inlineStr">
        <is>
          <t>enk</t>
        </is>
      </c>
      <c r="R1253" t="inlineStr">
        <is>
          <t xml:space="preserve">QD </t>
        </is>
      </c>
      <c r="S1253" t="n">
        <v>6</v>
      </c>
      <c r="T1253" t="n">
        <v>6</v>
      </c>
      <c r="U1253" t="inlineStr">
        <is>
          <t>2009-09-02</t>
        </is>
      </c>
      <c r="V1253" t="inlineStr">
        <is>
          <t>2009-09-02</t>
        </is>
      </c>
      <c r="W1253" t="inlineStr">
        <is>
          <t>1993-12-16</t>
        </is>
      </c>
      <c r="X1253" t="inlineStr">
        <is>
          <t>1993-12-16</t>
        </is>
      </c>
      <c r="Y1253" t="n">
        <v>508</v>
      </c>
      <c r="Z1253" t="n">
        <v>373</v>
      </c>
      <c r="AA1253" t="n">
        <v>387</v>
      </c>
      <c r="AB1253" t="n">
        <v>3</v>
      </c>
      <c r="AC1253" t="n">
        <v>3</v>
      </c>
      <c r="AD1253" t="n">
        <v>17</v>
      </c>
      <c r="AE1253" t="n">
        <v>19</v>
      </c>
      <c r="AF1253" t="n">
        <v>7</v>
      </c>
      <c r="AG1253" t="n">
        <v>7</v>
      </c>
      <c r="AH1253" t="n">
        <v>4</v>
      </c>
      <c r="AI1253" t="n">
        <v>4</v>
      </c>
      <c r="AJ1253" t="n">
        <v>9</v>
      </c>
      <c r="AK1253" t="n">
        <v>11</v>
      </c>
      <c r="AL1253" t="n">
        <v>2</v>
      </c>
      <c r="AM1253" t="n">
        <v>2</v>
      </c>
      <c r="AN1253" t="n">
        <v>0</v>
      </c>
      <c r="AO1253" t="n">
        <v>0</v>
      </c>
      <c r="AP1253" t="inlineStr">
        <is>
          <t>No</t>
        </is>
      </c>
      <c r="AQ1253" t="inlineStr">
        <is>
          <t>Yes</t>
        </is>
      </c>
      <c r="AR1253">
        <f>HYPERLINK("http://catalog.hathitrust.org/Record/001082635","HathiTrust Record")</f>
        <v/>
      </c>
      <c r="AS1253">
        <f>HYPERLINK("https://creighton-primo.hosted.exlibrisgroup.com/primo-explore/search?tab=default_tab&amp;search_scope=EVERYTHING&amp;vid=01CRU&amp;lang=en_US&amp;offset=0&amp;query=any,contains,991001246429702656","Catalog Record")</f>
        <v/>
      </c>
      <c r="AT1253">
        <f>HYPERLINK("http://www.worldcat.org/oclc/17650130","WorldCat Record")</f>
        <v/>
      </c>
      <c r="AU1253" t="inlineStr">
        <is>
          <t>2788391021:eng</t>
        </is>
      </c>
      <c r="AV1253" t="inlineStr">
        <is>
          <t>17650130</t>
        </is>
      </c>
      <c r="AW1253" t="inlineStr">
        <is>
          <t>991001246429702656</t>
        </is>
      </c>
      <c r="AX1253" t="inlineStr">
        <is>
          <t>991001246429702656</t>
        </is>
      </c>
      <c r="AY1253" t="inlineStr">
        <is>
          <t>2268387150002656</t>
        </is>
      </c>
      <c r="AZ1253" t="inlineStr">
        <is>
          <t>BOOK</t>
        </is>
      </c>
      <c r="BB1253" t="inlineStr">
        <is>
          <t>9780198552345</t>
        </is>
      </c>
      <c r="BC1253" t="inlineStr">
        <is>
          <t>32285001816304</t>
        </is>
      </c>
      <c r="BD1253" t="inlineStr">
        <is>
          <t>893809006</t>
        </is>
      </c>
    </row>
    <row r="1254">
      <c r="A1254" t="inlineStr">
        <is>
          <t>No</t>
        </is>
      </c>
      <c r="B1254" t="inlineStr">
        <is>
          <t>QD715 .G78</t>
        </is>
      </c>
      <c r="C1254" t="inlineStr">
        <is>
          <t>0                      QD 0715000G  78</t>
        </is>
      </c>
      <c r="D1254" t="inlineStr">
        <is>
          <t>Megawatt infrared laser chemistry / Ernest Grunwald, David F. Dever, Philip M. Keehn.</t>
        </is>
      </c>
      <c r="F1254" t="inlineStr">
        <is>
          <t>No</t>
        </is>
      </c>
      <c r="G1254" t="inlineStr">
        <is>
          <t>1</t>
        </is>
      </c>
      <c r="H1254" t="inlineStr">
        <is>
          <t>No</t>
        </is>
      </c>
      <c r="I1254" t="inlineStr">
        <is>
          <t>No</t>
        </is>
      </c>
      <c r="J1254" t="inlineStr">
        <is>
          <t>0</t>
        </is>
      </c>
      <c r="K1254" t="inlineStr">
        <is>
          <t>Grunwald, Ernest, 1923-2002.</t>
        </is>
      </c>
      <c r="L1254" t="inlineStr">
        <is>
          <t>New York : Wiley, c1978.</t>
        </is>
      </c>
      <c r="M1254" t="inlineStr">
        <is>
          <t>1978</t>
        </is>
      </c>
      <c r="O1254" t="inlineStr">
        <is>
          <t>eng</t>
        </is>
      </c>
      <c r="P1254" t="inlineStr">
        <is>
          <t>nyu</t>
        </is>
      </c>
      <c r="R1254" t="inlineStr">
        <is>
          <t xml:space="preserve">QD </t>
        </is>
      </c>
      <c r="S1254" t="n">
        <v>19</v>
      </c>
      <c r="T1254" t="n">
        <v>19</v>
      </c>
      <c r="U1254" t="inlineStr">
        <is>
          <t>2008-03-06</t>
        </is>
      </c>
      <c r="V1254" t="inlineStr">
        <is>
          <t>2008-03-06</t>
        </is>
      </c>
      <c r="W1254" t="inlineStr">
        <is>
          <t>1992-06-12</t>
        </is>
      </c>
      <c r="X1254" t="inlineStr">
        <is>
          <t>1992-06-12</t>
        </is>
      </c>
      <c r="Y1254" t="n">
        <v>370</v>
      </c>
      <c r="Z1254" t="n">
        <v>280</v>
      </c>
      <c r="AA1254" t="n">
        <v>286</v>
      </c>
      <c r="AB1254" t="n">
        <v>4</v>
      </c>
      <c r="AC1254" t="n">
        <v>4</v>
      </c>
      <c r="AD1254" t="n">
        <v>9</v>
      </c>
      <c r="AE1254" t="n">
        <v>9</v>
      </c>
      <c r="AF1254" t="n">
        <v>2</v>
      </c>
      <c r="AG1254" t="n">
        <v>2</v>
      </c>
      <c r="AH1254" t="n">
        <v>2</v>
      </c>
      <c r="AI1254" t="n">
        <v>2</v>
      </c>
      <c r="AJ1254" t="n">
        <v>5</v>
      </c>
      <c r="AK1254" t="n">
        <v>5</v>
      </c>
      <c r="AL1254" t="n">
        <v>3</v>
      </c>
      <c r="AM1254" t="n">
        <v>3</v>
      </c>
      <c r="AN1254" t="n">
        <v>0</v>
      </c>
      <c r="AO1254" t="n">
        <v>0</v>
      </c>
      <c r="AP1254" t="inlineStr">
        <is>
          <t>No</t>
        </is>
      </c>
      <c r="AQ1254" t="inlineStr">
        <is>
          <t>Yes</t>
        </is>
      </c>
      <c r="AR1254">
        <f>HYPERLINK("http://catalog.hathitrust.org/Record/000135383","HathiTrust Record")</f>
        <v/>
      </c>
      <c r="AS1254">
        <f>HYPERLINK("https://creighton-primo.hosted.exlibrisgroup.com/primo-explore/search?tab=default_tab&amp;search_scope=EVERYTHING&amp;vid=01CRU&amp;lang=en_US&amp;offset=0&amp;query=any,contains,991005371639702656","Catalog Record")</f>
        <v/>
      </c>
      <c r="AT1254">
        <f>HYPERLINK("http://www.worldcat.org/oclc/3844099","WorldCat Record")</f>
        <v/>
      </c>
      <c r="AU1254" t="inlineStr">
        <is>
          <t>146948651:eng</t>
        </is>
      </c>
      <c r="AV1254" t="inlineStr">
        <is>
          <t>3844099</t>
        </is>
      </c>
      <c r="AW1254" t="inlineStr">
        <is>
          <t>991005371639702656</t>
        </is>
      </c>
      <c r="AX1254" t="inlineStr">
        <is>
          <t>991005371639702656</t>
        </is>
      </c>
      <c r="AY1254" t="inlineStr">
        <is>
          <t>2264724890002656</t>
        </is>
      </c>
      <c r="AZ1254" t="inlineStr">
        <is>
          <t>BOOK</t>
        </is>
      </c>
      <c r="BB1254" t="inlineStr">
        <is>
          <t>9780471030744</t>
        </is>
      </c>
      <c r="BC1254" t="inlineStr">
        <is>
          <t>32285001131324</t>
        </is>
      </c>
      <c r="BD1254" t="inlineStr">
        <is>
          <t>893533728</t>
        </is>
      </c>
    </row>
    <row r="1255">
      <c r="A1255" t="inlineStr">
        <is>
          <t>No</t>
        </is>
      </c>
      <c r="B1255" t="inlineStr">
        <is>
          <t>QD715 .H67</t>
        </is>
      </c>
      <c r="C1255" t="inlineStr">
        <is>
          <t>0                      QD 0715000H  67</t>
        </is>
      </c>
      <c r="D1255" t="inlineStr">
        <is>
          <t>Aspects of organic photochemistry / William M. Horspool.</t>
        </is>
      </c>
      <c r="F1255" t="inlineStr">
        <is>
          <t>No</t>
        </is>
      </c>
      <c r="G1255" t="inlineStr">
        <is>
          <t>1</t>
        </is>
      </c>
      <c r="H1255" t="inlineStr">
        <is>
          <t>No</t>
        </is>
      </c>
      <c r="I1255" t="inlineStr">
        <is>
          <t>No</t>
        </is>
      </c>
      <c r="J1255" t="inlineStr">
        <is>
          <t>0</t>
        </is>
      </c>
      <c r="K1255" t="inlineStr">
        <is>
          <t>Horspool, William M.</t>
        </is>
      </c>
      <c r="L1255" t="inlineStr">
        <is>
          <t>London ; New York : Academic Press, 1976.</t>
        </is>
      </c>
      <c r="M1255" t="inlineStr">
        <is>
          <t>1976</t>
        </is>
      </c>
      <c r="O1255" t="inlineStr">
        <is>
          <t>eng</t>
        </is>
      </c>
      <c r="P1255" t="inlineStr">
        <is>
          <t>enk</t>
        </is>
      </c>
      <c r="R1255" t="inlineStr">
        <is>
          <t xml:space="preserve">QD </t>
        </is>
      </c>
      <c r="S1255" t="n">
        <v>3</v>
      </c>
      <c r="T1255" t="n">
        <v>3</v>
      </c>
      <c r="U1255" t="inlineStr">
        <is>
          <t>2009-09-02</t>
        </is>
      </c>
      <c r="V1255" t="inlineStr">
        <is>
          <t>2009-09-02</t>
        </is>
      </c>
      <c r="W1255" t="inlineStr">
        <is>
          <t>1997-06-19</t>
        </is>
      </c>
      <c r="X1255" t="inlineStr">
        <is>
          <t>1997-06-19</t>
        </is>
      </c>
      <c r="Y1255" t="n">
        <v>407</v>
      </c>
      <c r="Z1255" t="n">
        <v>293</v>
      </c>
      <c r="AA1255" t="n">
        <v>299</v>
      </c>
      <c r="AB1255" t="n">
        <v>2</v>
      </c>
      <c r="AC1255" t="n">
        <v>2</v>
      </c>
      <c r="AD1255" t="n">
        <v>10</v>
      </c>
      <c r="AE1255" t="n">
        <v>10</v>
      </c>
      <c r="AF1255" t="n">
        <v>3</v>
      </c>
      <c r="AG1255" t="n">
        <v>3</v>
      </c>
      <c r="AH1255" t="n">
        <v>3</v>
      </c>
      <c r="AI1255" t="n">
        <v>3</v>
      </c>
      <c r="AJ1255" t="n">
        <v>5</v>
      </c>
      <c r="AK1255" t="n">
        <v>5</v>
      </c>
      <c r="AL1255" t="n">
        <v>1</v>
      </c>
      <c r="AM1255" t="n">
        <v>1</v>
      </c>
      <c r="AN1255" t="n">
        <v>0</v>
      </c>
      <c r="AO1255" t="n">
        <v>0</v>
      </c>
      <c r="AP1255" t="inlineStr">
        <is>
          <t>No</t>
        </is>
      </c>
      <c r="AQ1255" t="inlineStr">
        <is>
          <t>Yes</t>
        </is>
      </c>
      <c r="AR1255">
        <f>HYPERLINK("http://catalog.hathitrust.org/Record/000084174","HathiTrust Record")</f>
        <v/>
      </c>
      <c r="AS1255">
        <f>HYPERLINK("https://creighton-primo.hosted.exlibrisgroup.com/primo-explore/search?tab=default_tab&amp;search_scope=EVERYTHING&amp;vid=01CRU&amp;lang=en_US&amp;offset=0&amp;query=any,contains,991004149779702656","Catalog Record")</f>
        <v/>
      </c>
      <c r="AT1255">
        <f>HYPERLINK("http://www.worldcat.org/oclc/2523245","WorldCat Record")</f>
        <v/>
      </c>
      <c r="AU1255" t="inlineStr">
        <is>
          <t>3856988796:eng</t>
        </is>
      </c>
      <c r="AV1255" t="inlineStr">
        <is>
          <t>2523245</t>
        </is>
      </c>
      <c r="AW1255" t="inlineStr">
        <is>
          <t>991004149779702656</t>
        </is>
      </c>
      <c r="AX1255" t="inlineStr">
        <is>
          <t>991004149779702656</t>
        </is>
      </c>
      <c r="AY1255" t="inlineStr">
        <is>
          <t>2269990440002656</t>
        </is>
      </c>
      <c r="AZ1255" t="inlineStr">
        <is>
          <t>BOOK</t>
        </is>
      </c>
      <c r="BB1255" t="inlineStr">
        <is>
          <t>9780123566508</t>
        </is>
      </c>
      <c r="BC1255" t="inlineStr">
        <is>
          <t>32285002809837</t>
        </is>
      </c>
      <c r="BD1255" t="inlineStr">
        <is>
          <t>893624403</t>
        </is>
      </c>
    </row>
    <row r="1256">
      <c r="A1256" t="inlineStr">
        <is>
          <t>No</t>
        </is>
      </c>
      <c r="B1256" t="inlineStr">
        <is>
          <t>QD75.2 .N66 2004</t>
        </is>
      </c>
      <c r="C1256" t="inlineStr">
        <is>
          <t>0                      QD 0075200N  66          2004</t>
        </is>
      </c>
      <c r="D1256" t="inlineStr">
        <is>
          <t>Non-destructive microanalysis of cultural heritage materials / edited by K. Janssens, R. Van Grieken.</t>
        </is>
      </c>
      <c r="F1256" t="inlineStr">
        <is>
          <t>No</t>
        </is>
      </c>
      <c r="G1256" t="inlineStr">
        <is>
          <t>1</t>
        </is>
      </c>
      <c r="H1256" t="inlineStr">
        <is>
          <t>No</t>
        </is>
      </c>
      <c r="I1256" t="inlineStr">
        <is>
          <t>No</t>
        </is>
      </c>
      <c r="J1256" t="inlineStr">
        <is>
          <t>0</t>
        </is>
      </c>
      <c r="L1256" t="inlineStr">
        <is>
          <t>Amsterdam ; London : Elsevier, c2004.</t>
        </is>
      </c>
      <c r="M1256" t="inlineStr">
        <is>
          <t>2004</t>
        </is>
      </c>
      <c r="N1256" t="inlineStr">
        <is>
          <t>1st ed.</t>
        </is>
      </c>
      <c r="O1256" t="inlineStr">
        <is>
          <t>eng</t>
        </is>
      </c>
      <c r="P1256" t="inlineStr">
        <is>
          <t xml:space="preserve">ne </t>
        </is>
      </c>
      <c r="Q1256" t="inlineStr">
        <is>
          <t>Wilson &amp; Wilson's comprehensive analytical chemistry ; v. 42</t>
        </is>
      </c>
      <c r="R1256" t="inlineStr">
        <is>
          <t xml:space="preserve">QD </t>
        </is>
      </c>
      <c r="S1256" t="n">
        <v>1</v>
      </c>
      <c r="T1256" t="n">
        <v>1</v>
      </c>
      <c r="U1256" t="inlineStr">
        <is>
          <t>2006-09-11</t>
        </is>
      </c>
      <c r="V1256" t="inlineStr">
        <is>
          <t>2006-09-11</t>
        </is>
      </c>
      <c r="W1256" t="inlineStr">
        <is>
          <t>2006-09-11</t>
        </is>
      </c>
      <c r="X1256" t="inlineStr">
        <is>
          <t>2006-09-11</t>
        </is>
      </c>
      <c r="Y1256" t="n">
        <v>119</v>
      </c>
      <c r="Z1256" t="n">
        <v>75</v>
      </c>
      <c r="AA1256" t="n">
        <v>132</v>
      </c>
      <c r="AB1256" t="n">
        <v>1</v>
      </c>
      <c r="AC1256" t="n">
        <v>1</v>
      </c>
      <c r="AD1256" t="n">
        <v>5</v>
      </c>
      <c r="AE1256" t="n">
        <v>7</v>
      </c>
      <c r="AF1256" t="n">
        <v>0</v>
      </c>
      <c r="AG1256" t="n">
        <v>2</v>
      </c>
      <c r="AH1256" t="n">
        <v>2</v>
      </c>
      <c r="AI1256" t="n">
        <v>3</v>
      </c>
      <c r="AJ1256" t="n">
        <v>5</v>
      </c>
      <c r="AK1256" t="n">
        <v>5</v>
      </c>
      <c r="AL1256" t="n">
        <v>0</v>
      </c>
      <c r="AM1256" t="n">
        <v>0</v>
      </c>
      <c r="AN1256" t="n">
        <v>0</v>
      </c>
      <c r="AO1256" t="n">
        <v>0</v>
      </c>
      <c r="AP1256" t="inlineStr">
        <is>
          <t>No</t>
        </is>
      </c>
      <c r="AQ1256" t="inlineStr">
        <is>
          <t>No</t>
        </is>
      </c>
      <c r="AS1256">
        <f>HYPERLINK("https://creighton-primo.hosted.exlibrisgroup.com/primo-explore/search?tab=default_tab&amp;search_scope=EVERYTHING&amp;vid=01CRU&amp;lang=en_US&amp;offset=0&amp;query=any,contains,991004901239702656","Catalog Record")</f>
        <v/>
      </c>
      <c r="AT1256">
        <f>HYPERLINK("http://www.worldcat.org/oclc/57441369","WorldCat Record")</f>
        <v/>
      </c>
      <c r="AU1256" t="inlineStr">
        <is>
          <t>766857627:eng</t>
        </is>
      </c>
      <c r="AV1256" t="inlineStr">
        <is>
          <t>57441369</t>
        </is>
      </c>
      <c r="AW1256" t="inlineStr">
        <is>
          <t>991004901239702656</t>
        </is>
      </c>
      <c r="AX1256" t="inlineStr">
        <is>
          <t>991004901239702656</t>
        </is>
      </c>
      <c r="AY1256" t="inlineStr">
        <is>
          <t>2262273890002656</t>
        </is>
      </c>
      <c r="AZ1256" t="inlineStr">
        <is>
          <t>BOOK</t>
        </is>
      </c>
      <c r="BB1256" t="inlineStr">
        <is>
          <t>9780444507389</t>
        </is>
      </c>
      <c r="BC1256" t="inlineStr">
        <is>
          <t>32285005222673</t>
        </is>
      </c>
      <c r="BD1256" t="inlineStr">
        <is>
          <t>893612886</t>
        </is>
      </c>
    </row>
    <row r="1257">
      <c r="A1257" t="inlineStr">
        <is>
          <t>No</t>
        </is>
      </c>
      <c r="B1257" t="inlineStr">
        <is>
          <t>QD75.2 .P49 1978, v...</t>
        </is>
      </c>
      <c r="C1257" t="inlineStr">
        <is>
          <t>0                      QD 0075200P  49          1978                                        v...</t>
        </is>
      </c>
      <c r="D1257" t="inlineStr">
        <is>
          <t>Physical methods in modern chemical analysis / edited by Theodore Kuwana.</t>
        </is>
      </c>
      <c r="E1257" t="inlineStr">
        <is>
          <t>V. 3</t>
        </is>
      </c>
      <c r="F1257" t="inlineStr">
        <is>
          <t>Yes</t>
        </is>
      </c>
      <c r="G1257" t="inlineStr">
        <is>
          <t>1</t>
        </is>
      </c>
      <c r="H1257" t="inlineStr">
        <is>
          <t>No</t>
        </is>
      </c>
      <c r="I1257" t="inlineStr">
        <is>
          <t>No</t>
        </is>
      </c>
      <c r="J1257" t="inlineStr">
        <is>
          <t>0</t>
        </is>
      </c>
      <c r="L1257" t="inlineStr">
        <is>
          <t>New York : Academic Press, 1978-</t>
        </is>
      </c>
      <c r="M1257" t="inlineStr">
        <is>
          <t>1978</t>
        </is>
      </c>
      <c r="O1257" t="inlineStr">
        <is>
          <t>eng</t>
        </is>
      </c>
      <c r="P1257" t="inlineStr">
        <is>
          <t>nyu</t>
        </is>
      </c>
      <c r="R1257" t="inlineStr">
        <is>
          <t xml:space="preserve">QD </t>
        </is>
      </c>
      <c r="S1257" t="n">
        <v>0</v>
      </c>
      <c r="T1257" t="n">
        <v>4</v>
      </c>
      <c r="V1257" t="inlineStr">
        <is>
          <t>1995-01-26</t>
        </is>
      </c>
      <c r="W1257" t="inlineStr">
        <is>
          <t>1993-01-22</t>
        </is>
      </c>
      <c r="X1257" t="inlineStr">
        <is>
          <t>1993-01-22</t>
        </is>
      </c>
      <c r="Y1257" t="n">
        <v>635</v>
      </c>
      <c r="Z1257" t="n">
        <v>537</v>
      </c>
      <c r="AA1257" t="n">
        <v>565</v>
      </c>
      <c r="AB1257" t="n">
        <v>3</v>
      </c>
      <c r="AC1257" t="n">
        <v>3</v>
      </c>
      <c r="AD1257" t="n">
        <v>28</v>
      </c>
      <c r="AE1257" t="n">
        <v>29</v>
      </c>
      <c r="AF1257" t="n">
        <v>11</v>
      </c>
      <c r="AG1257" t="n">
        <v>12</v>
      </c>
      <c r="AH1257" t="n">
        <v>8</v>
      </c>
      <c r="AI1257" t="n">
        <v>8</v>
      </c>
      <c r="AJ1257" t="n">
        <v>15</v>
      </c>
      <c r="AK1257" t="n">
        <v>15</v>
      </c>
      <c r="AL1257" t="n">
        <v>2</v>
      </c>
      <c r="AM1257" t="n">
        <v>2</v>
      </c>
      <c r="AN1257" t="n">
        <v>0</v>
      </c>
      <c r="AO1257" t="n">
        <v>0</v>
      </c>
      <c r="AP1257" t="inlineStr">
        <is>
          <t>No</t>
        </is>
      </c>
      <c r="AQ1257" t="inlineStr">
        <is>
          <t>Yes</t>
        </is>
      </c>
      <c r="AR1257">
        <f>HYPERLINK("http://catalog.hathitrust.org/Record/000310400","HathiTrust Record")</f>
        <v/>
      </c>
      <c r="AS1257">
        <f>HYPERLINK("https://creighton-primo.hosted.exlibrisgroup.com/primo-explore/search?tab=default_tab&amp;search_scope=EVERYTHING&amp;vid=01CRU&amp;lang=en_US&amp;offset=0&amp;query=any,contains,991004568149702656","Catalog Record")</f>
        <v/>
      </c>
      <c r="AT1257">
        <f>HYPERLINK("http://www.worldcat.org/oclc/4005122","WorldCat Record")</f>
        <v/>
      </c>
      <c r="AU1257" t="inlineStr">
        <is>
          <t>2864386621:eng</t>
        </is>
      </c>
      <c r="AV1257" t="inlineStr">
        <is>
          <t>4005122</t>
        </is>
      </c>
      <c r="AW1257" t="inlineStr">
        <is>
          <t>991004568149702656</t>
        </is>
      </c>
      <c r="AX1257" t="inlineStr">
        <is>
          <t>991004568149702656</t>
        </is>
      </c>
      <c r="AY1257" t="inlineStr">
        <is>
          <t>2264831590002656</t>
        </is>
      </c>
      <c r="AZ1257" t="inlineStr">
        <is>
          <t>BOOK</t>
        </is>
      </c>
      <c r="BB1257" t="inlineStr">
        <is>
          <t>9780124308015</t>
        </is>
      </c>
      <c r="BC1257" t="inlineStr">
        <is>
          <t>32285001515013</t>
        </is>
      </c>
      <c r="BD1257" t="inlineStr">
        <is>
          <t>893706572</t>
        </is>
      </c>
    </row>
    <row r="1258">
      <c r="A1258" t="inlineStr">
        <is>
          <t>No</t>
        </is>
      </c>
      <c r="B1258" t="inlineStr">
        <is>
          <t>QD75.2 .P49 1978, v...</t>
        </is>
      </c>
      <c r="C1258" t="inlineStr">
        <is>
          <t>0                      QD 0075200P  49          1978                                        v...</t>
        </is>
      </c>
      <c r="D1258" t="inlineStr">
        <is>
          <t>Physical methods in modern chemical analysis / edited by Theodore Kuwana.</t>
        </is>
      </c>
      <c r="E1258" t="inlineStr">
        <is>
          <t>V. 1</t>
        </is>
      </c>
      <c r="F1258" t="inlineStr">
        <is>
          <t>Yes</t>
        </is>
      </c>
      <c r="G1258" t="inlineStr">
        <is>
          <t>1</t>
        </is>
      </c>
      <c r="H1258" t="inlineStr">
        <is>
          <t>No</t>
        </is>
      </c>
      <c r="I1258" t="inlineStr">
        <is>
          <t>No</t>
        </is>
      </c>
      <c r="J1258" t="inlineStr">
        <is>
          <t>0</t>
        </is>
      </c>
      <c r="L1258" t="inlineStr">
        <is>
          <t>New York : Academic Press, 1978-</t>
        </is>
      </c>
      <c r="M1258" t="inlineStr">
        <is>
          <t>1978</t>
        </is>
      </c>
      <c r="O1258" t="inlineStr">
        <is>
          <t>eng</t>
        </is>
      </c>
      <c r="P1258" t="inlineStr">
        <is>
          <t>nyu</t>
        </is>
      </c>
      <c r="R1258" t="inlineStr">
        <is>
          <t xml:space="preserve">QD </t>
        </is>
      </c>
      <c r="S1258" t="n">
        <v>4</v>
      </c>
      <c r="T1258" t="n">
        <v>4</v>
      </c>
      <c r="U1258" t="inlineStr">
        <is>
          <t>1995-01-26</t>
        </is>
      </c>
      <c r="V1258" t="inlineStr">
        <is>
          <t>1995-01-26</t>
        </is>
      </c>
      <c r="W1258" t="inlineStr">
        <is>
          <t>1993-01-22</t>
        </is>
      </c>
      <c r="X1258" t="inlineStr">
        <is>
          <t>1993-01-22</t>
        </is>
      </c>
      <c r="Y1258" t="n">
        <v>635</v>
      </c>
      <c r="Z1258" t="n">
        <v>537</v>
      </c>
      <c r="AA1258" t="n">
        <v>565</v>
      </c>
      <c r="AB1258" t="n">
        <v>3</v>
      </c>
      <c r="AC1258" t="n">
        <v>3</v>
      </c>
      <c r="AD1258" t="n">
        <v>28</v>
      </c>
      <c r="AE1258" t="n">
        <v>29</v>
      </c>
      <c r="AF1258" t="n">
        <v>11</v>
      </c>
      <c r="AG1258" t="n">
        <v>12</v>
      </c>
      <c r="AH1258" t="n">
        <v>8</v>
      </c>
      <c r="AI1258" t="n">
        <v>8</v>
      </c>
      <c r="AJ1258" t="n">
        <v>15</v>
      </c>
      <c r="AK1258" t="n">
        <v>15</v>
      </c>
      <c r="AL1258" t="n">
        <v>2</v>
      </c>
      <c r="AM1258" t="n">
        <v>2</v>
      </c>
      <c r="AN1258" t="n">
        <v>0</v>
      </c>
      <c r="AO1258" t="n">
        <v>0</v>
      </c>
      <c r="AP1258" t="inlineStr">
        <is>
          <t>No</t>
        </is>
      </c>
      <c r="AQ1258" t="inlineStr">
        <is>
          <t>Yes</t>
        </is>
      </c>
      <c r="AR1258">
        <f>HYPERLINK("http://catalog.hathitrust.org/Record/000310400","HathiTrust Record")</f>
        <v/>
      </c>
      <c r="AS1258">
        <f>HYPERLINK("https://creighton-primo.hosted.exlibrisgroup.com/primo-explore/search?tab=default_tab&amp;search_scope=EVERYTHING&amp;vid=01CRU&amp;lang=en_US&amp;offset=0&amp;query=any,contains,991004568149702656","Catalog Record")</f>
        <v/>
      </c>
      <c r="AT1258">
        <f>HYPERLINK("http://www.worldcat.org/oclc/4005122","WorldCat Record")</f>
        <v/>
      </c>
      <c r="AU1258" t="inlineStr">
        <is>
          <t>2864386621:eng</t>
        </is>
      </c>
      <c r="AV1258" t="inlineStr">
        <is>
          <t>4005122</t>
        </is>
      </c>
      <c r="AW1258" t="inlineStr">
        <is>
          <t>991004568149702656</t>
        </is>
      </c>
      <c r="AX1258" t="inlineStr">
        <is>
          <t>991004568149702656</t>
        </is>
      </c>
      <c r="AY1258" t="inlineStr">
        <is>
          <t>2264831590002656</t>
        </is>
      </c>
      <c r="AZ1258" t="inlineStr">
        <is>
          <t>BOOK</t>
        </is>
      </c>
      <c r="BB1258" t="inlineStr">
        <is>
          <t>9780124308015</t>
        </is>
      </c>
      <c r="BC1258" t="inlineStr">
        <is>
          <t>32285001399996</t>
        </is>
      </c>
      <c r="BD1258" t="inlineStr">
        <is>
          <t>893712775</t>
        </is>
      </c>
    </row>
    <row r="1259">
      <c r="A1259" t="inlineStr">
        <is>
          <t>No</t>
        </is>
      </c>
      <c r="B1259" t="inlineStr">
        <is>
          <t>QD75.2 .P49 1978, v...</t>
        </is>
      </c>
      <c r="C1259" t="inlineStr">
        <is>
          <t>0                      QD 0075200P  49          1978                                        v...</t>
        </is>
      </c>
      <c r="D1259" t="inlineStr">
        <is>
          <t>Physical methods in modern chemical analysis / edited by Theodore Kuwana.</t>
        </is>
      </c>
      <c r="E1259" t="inlineStr">
        <is>
          <t>V. 2</t>
        </is>
      </c>
      <c r="F1259" t="inlineStr">
        <is>
          <t>Yes</t>
        </is>
      </c>
      <c r="G1259" t="inlineStr">
        <is>
          <t>1</t>
        </is>
      </c>
      <c r="H1259" t="inlineStr">
        <is>
          <t>No</t>
        </is>
      </c>
      <c r="I1259" t="inlineStr">
        <is>
          <t>No</t>
        </is>
      </c>
      <c r="J1259" t="inlineStr">
        <is>
          <t>0</t>
        </is>
      </c>
      <c r="L1259" t="inlineStr">
        <is>
          <t>New York : Academic Press, 1978-</t>
        </is>
      </c>
      <c r="M1259" t="inlineStr">
        <is>
          <t>1978</t>
        </is>
      </c>
      <c r="O1259" t="inlineStr">
        <is>
          <t>eng</t>
        </is>
      </c>
      <c r="P1259" t="inlineStr">
        <is>
          <t>nyu</t>
        </is>
      </c>
      <c r="R1259" t="inlineStr">
        <is>
          <t xml:space="preserve">QD </t>
        </is>
      </c>
      <c r="S1259" t="n">
        <v>0</v>
      </c>
      <c r="T1259" t="n">
        <v>4</v>
      </c>
      <c r="V1259" t="inlineStr">
        <is>
          <t>1995-01-26</t>
        </is>
      </c>
      <c r="W1259" t="inlineStr">
        <is>
          <t>1993-01-22</t>
        </is>
      </c>
      <c r="X1259" t="inlineStr">
        <is>
          <t>1993-01-22</t>
        </is>
      </c>
      <c r="Y1259" t="n">
        <v>635</v>
      </c>
      <c r="Z1259" t="n">
        <v>537</v>
      </c>
      <c r="AA1259" t="n">
        <v>565</v>
      </c>
      <c r="AB1259" t="n">
        <v>3</v>
      </c>
      <c r="AC1259" t="n">
        <v>3</v>
      </c>
      <c r="AD1259" t="n">
        <v>28</v>
      </c>
      <c r="AE1259" t="n">
        <v>29</v>
      </c>
      <c r="AF1259" t="n">
        <v>11</v>
      </c>
      <c r="AG1259" t="n">
        <v>12</v>
      </c>
      <c r="AH1259" t="n">
        <v>8</v>
      </c>
      <c r="AI1259" t="n">
        <v>8</v>
      </c>
      <c r="AJ1259" t="n">
        <v>15</v>
      </c>
      <c r="AK1259" t="n">
        <v>15</v>
      </c>
      <c r="AL1259" t="n">
        <v>2</v>
      </c>
      <c r="AM1259" t="n">
        <v>2</v>
      </c>
      <c r="AN1259" t="n">
        <v>0</v>
      </c>
      <c r="AO1259" t="n">
        <v>0</v>
      </c>
      <c r="AP1259" t="inlineStr">
        <is>
          <t>No</t>
        </is>
      </c>
      <c r="AQ1259" t="inlineStr">
        <is>
          <t>Yes</t>
        </is>
      </c>
      <c r="AR1259">
        <f>HYPERLINK("http://catalog.hathitrust.org/Record/000310400","HathiTrust Record")</f>
        <v/>
      </c>
      <c r="AS1259">
        <f>HYPERLINK("https://creighton-primo.hosted.exlibrisgroup.com/primo-explore/search?tab=default_tab&amp;search_scope=EVERYTHING&amp;vid=01CRU&amp;lang=en_US&amp;offset=0&amp;query=any,contains,991004568149702656","Catalog Record")</f>
        <v/>
      </c>
      <c r="AT1259">
        <f>HYPERLINK("http://www.worldcat.org/oclc/4005122","WorldCat Record")</f>
        <v/>
      </c>
      <c r="AU1259" t="inlineStr">
        <is>
          <t>2864386621:eng</t>
        </is>
      </c>
      <c r="AV1259" t="inlineStr">
        <is>
          <t>4005122</t>
        </is>
      </c>
      <c r="AW1259" t="inlineStr">
        <is>
          <t>991004568149702656</t>
        </is>
      </c>
      <c r="AX1259" t="inlineStr">
        <is>
          <t>991004568149702656</t>
        </is>
      </c>
      <c r="AY1259" t="inlineStr">
        <is>
          <t>2264831590002656</t>
        </is>
      </c>
      <c r="AZ1259" t="inlineStr">
        <is>
          <t>BOOK</t>
        </is>
      </c>
      <c r="BB1259" t="inlineStr">
        <is>
          <t>9780124308015</t>
        </is>
      </c>
      <c r="BC1259" t="inlineStr">
        <is>
          <t>32285001400000</t>
        </is>
      </c>
      <c r="BD1259" t="inlineStr">
        <is>
          <t>893706573</t>
        </is>
      </c>
    </row>
    <row r="1260">
      <c r="A1260" t="inlineStr">
        <is>
          <t>No</t>
        </is>
      </c>
      <c r="B1260" t="inlineStr">
        <is>
          <t>QD75.22 .A53 2004</t>
        </is>
      </c>
      <c r="C1260" t="inlineStr">
        <is>
          <t>0                      QD 0075220A  53          2004</t>
        </is>
      </c>
      <c r="D1260" t="inlineStr">
        <is>
          <t>Analytical chemistry : a modern approach to analytical science / founding editors, R. Kellner, H.M. Widmer.</t>
        </is>
      </c>
      <c r="F1260" t="inlineStr">
        <is>
          <t>No</t>
        </is>
      </c>
      <c r="G1260" t="inlineStr">
        <is>
          <t>1</t>
        </is>
      </c>
      <c r="H1260" t="inlineStr">
        <is>
          <t>No</t>
        </is>
      </c>
      <c r="I1260" t="inlineStr">
        <is>
          <t>No</t>
        </is>
      </c>
      <c r="J1260" t="inlineStr">
        <is>
          <t>0</t>
        </is>
      </c>
      <c r="L1260" t="inlineStr">
        <is>
          <t>Weinheim ; [Great Britain] : Wiley-VCH, c2004.</t>
        </is>
      </c>
      <c r="M1260" t="inlineStr">
        <is>
          <t>2004</t>
        </is>
      </c>
      <c r="N1260" t="inlineStr">
        <is>
          <t>2nd ed. / edited by J.-M. Mermet, M. Otto, M. Valcárcel.</t>
        </is>
      </c>
      <c r="O1260" t="inlineStr">
        <is>
          <t>eng</t>
        </is>
      </c>
      <c r="P1260" t="inlineStr">
        <is>
          <t xml:space="preserve">gw </t>
        </is>
      </c>
      <c r="R1260" t="inlineStr">
        <is>
          <t xml:space="preserve">QD </t>
        </is>
      </c>
      <c r="S1260" t="n">
        <v>3</v>
      </c>
      <c r="T1260" t="n">
        <v>3</v>
      </c>
      <c r="U1260" t="inlineStr">
        <is>
          <t>2008-04-16</t>
        </is>
      </c>
      <c r="V1260" t="inlineStr">
        <is>
          <t>2008-04-16</t>
        </is>
      </c>
      <c r="W1260" t="inlineStr">
        <is>
          <t>2008-04-03</t>
        </is>
      </c>
      <c r="X1260" t="inlineStr">
        <is>
          <t>2008-04-03</t>
        </is>
      </c>
      <c r="Y1260" t="n">
        <v>390</v>
      </c>
      <c r="Z1260" t="n">
        <v>225</v>
      </c>
      <c r="AA1260" t="n">
        <v>226</v>
      </c>
      <c r="AB1260" t="n">
        <v>3</v>
      </c>
      <c r="AC1260" t="n">
        <v>3</v>
      </c>
      <c r="AD1260" t="n">
        <v>11</v>
      </c>
      <c r="AE1260" t="n">
        <v>11</v>
      </c>
      <c r="AF1260" t="n">
        <v>5</v>
      </c>
      <c r="AG1260" t="n">
        <v>5</v>
      </c>
      <c r="AH1260" t="n">
        <v>1</v>
      </c>
      <c r="AI1260" t="n">
        <v>1</v>
      </c>
      <c r="AJ1260" t="n">
        <v>5</v>
      </c>
      <c r="AK1260" t="n">
        <v>5</v>
      </c>
      <c r="AL1260" t="n">
        <v>2</v>
      </c>
      <c r="AM1260" t="n">
        <v>2</v>
      </c>
      <c r="AN1260" t="n">
        <v>0</v>
      </c>
      <c r="AO1260" t="n">
        <v>0</v>
      </c>
      <c r="AP1260" t="inlineStr">
        <is>
          <t>No</t>
        </is>
      </c>
      <c r="AQ1260" t="inlineStr">
        <is>
          <t>Yes</t>
        </is>
      </c>
      <c r="AR1260">
        <f>HYPERLINK("http://catalog.hathitrust.org/Record/009463662","HathiTrust Record")</f>
        <v/>
      </c>
      <c r="AS1260">
        <f>HYPERLINK("https://creighton-primo.hosted.exlibrisgroup.com/primo-explore/search?tab=default_tab&amp;search_scope=EVERYTHING&amp;vid=01CRU&amp;lang=en_US&amp;offset=0&amp;query=any,contains,991005200419702656","Catalog Record")</f>
        <v/>
      </c>
      <c r="AT1260">
        <f>HYPERLINK("http://www.worldcat.org/oclc/56658131","WorldCat Record")</f>
        <v/>
      </c>
      <c r="AU1260" t="inlineStr">
        <is>
          <t>1016219489:eng</t>
        </is>
      </c>
      <c r="AV1260" t="inlineStr">
        <is>
          <t>56658131</t>
        </is>
      </c>
      <c r="AW1260" t="inlineStr">
        <is>
          <t>991005200419702656</t>
        </is>
      </c>
      <c r="AX1260" t="inlineStr">
        <is>
          <t>991005200419702656</t>
        </is>
      </c>
      <c r="AY1260" t="inlineStr">
        <is>
          <t>2263432300002656</t>
        </is>
      </c>
      <c r="AZ1260" t="inlineStr">
        <is>
          <t>BOOK</t>
        </is>
      </c>
      <c r="BB1260" t="inlineStr">
        <is>
          <t>9783527305902</t>
        </is>
      </c>
      <c r="BC1260" t="inlineStr">
        <is>
          <t>32285005401319</t>
        </is>
      </c>
      <c r="BD1260" t="inlineStr">
        <is>
          <t>893628617</t>
        </is>
      </c>
    </row>
    <row r="1261">
      <c r="A1261" t="inlineStr">
        <is>
          <t>No</t>
        </is>
      </c>
      <c r="B1261" t="inlineStr">
        <is>
          <t>QD75.3 .E35 1985</t>
        </is>
      </c>
      <c r="C1261" t="inlineStr">
        <is>
          <t>0                      QD 0075300E  35          1985</t>
        </is>
      </c>
      <c r="D1261" t="inlineStr">
        <is>
          <t>Analytical measurement and information : advances in the information theoretic approach to chemical analyses / K. Eckschlager and V. Štěpánek.</t>
        </is>
      </c>
      <c r="F1261" t="inlineStr">
        <is>
          <t>No</t>
        </is>
      </c>
      <c r="G1261" t="inlineStr">
        <is>
          <t>1</t>
        </is>
      </c>
      <c r="H1261" t="inlineStr">
        <is>
          <t>No</t>
        </is>
      </c>
      <c r="I1261" t="inlineStr">
        <is>
          <t>No</t>
        </is>
      </c>
      <c r="J1261" t="inlineStr">
        <is>
          <t>0</t>
        </is>
      </c>
      <c r="K1261" t="inlineStr">
        <is>
          <t>Eckschlager, Karel.</t>
        </is>
      </c>
      <c r="L1261" t="inlineStr">
        <is>
          <t>Letchworth, Hertfordshire, England : Research Studies Press ; New York : Wiley, c1985.</t>
        </is>
      </c>
      <c r="M1261" t="inlineStr">
        <is>
          <t>1985</t>
        </is>
      </c>
      <c r="O1261" t="inlineStr">
        <is>
          <t>eng</t>
        </is>
      </c>
      <c r="P1261" t="inlineStr">
        <is>
          <t>enk</t>
        </is>
      </c>
      <c r="Q1261" t="inlineStr">
        <is>
          <t>Chemometrics series ; 8</t>
        </is>
      </c>
      <c r="R1261" t="inlineStr">
        <is>
          <t xml:space="preserve">QD </t>
        </is>
      </c>
      <c r="S1261" t="n">
        <v>2</v>
      </c>
      <c r="T1261" t="n">
        <v>2</v>
      </c>
      <c r="U1261" t="inlineStr">
        <is>
          <t>1992-10-26</t>
        </is>
      </c>
      <c r="V1261" t="inlineStr">
        <is>
          <t>1992-10-26</t>
        </is>
      </c>
      <c r="W1261" t="inlineStr">
        <is>
          <t>1992-05-13</t>
        </is>
      </c>
      <c r="X1261" t="inlineStr">
        <is>
          <t>1992-05-13</t>
        </is>
      </c>
      <c r="Y1261" t="n">
        <v>211</v>
      </c>
      <c r="Z1261" t="n">
        <v>161</v>
      </c>
      <c r="AA1261" t="n">
        <v>164</v>
      </c>
      <c r="AB1261" t="n">
        <v>2</v>
      </c>
      <c r="AC1261" t="n">
        <v>2</v>
      </c>
      <c r="AD1261" t="n">
        <v>11</v>
      </c>
      <c r="AE1261" t="n">
        <v>11</v>
      </c>
      <c r="AF1261" t="n">
        <v>5</v>
      </c>
      <c r="AG1261" t="n">
        <v>5</v>
      </c>
      <c r="AH1261" t="n">
        <v>2</v>
      </c>
      <c r="AI1261" t="n">
        <v>2</v>
      </c>
      <c r="AJ1261" t="n">
        <v>5</v>
      </c>
      <c r="AK1261" t="n">
        <v>5</v>
      </c>
      <c r="AL1261" t="n">
        <v>1</v>
      </c>
      <c r="AM1261" t="n">
        <v>1</v>
      </c>
      <c r="AN1261" t="n">
        <v>0</v>
      </c>
      <c r="AO1261" t="n">
        <v>0</v>
      </c>
      <c r="AP1261" t="inlineStr">
        <is>
          <t>No</t>
        </is>
      </c>
      <c r="AQ1261" t="inlineStr">
        <is>
          <t>Yes</t>
        </is>
      </c>
      <c r="AR1261">
        <f>HYPERLINK("http://catalog.hathitrust.org/Record/000573210","HathiTrust Record")</f>
        <v/>
      </c>
      <c r="AS1261">
        <f>HYPERLINK("https://creighton-primo.hosted.exlibrisgroup.com/primo-explore/search?tab=default_tab&amp;search_scope=EVERYTHING&amp;vid=01CRU&amp;lang=en_US&amp;offset=0&amp;query=any,contains,991000522289702656","Catalog Record")</f>
        <v/>
      </c>
      <c r="AT1261">
        <f>HYPERLINK("http://www.worldcat.org/oclc/11345099","WorldCat Record")</f>
        <v/>
      </c>
      <c r="AU1261" t="inlineStr">
        <is>
          <t>836683507:eng</t>
        </is>
      </c>
      <c r="AV1261" t="inlineStr">
        <is>
          <t>11345099</t>
        </is>
      </c>
      <c r="AW1261" t="inlineStr">
        <is>
          <t>991000522289702656</t>
        </is>
      </c>
      <c r="AX1261" t="inlineStr">
        <is>
          <t>991000522289702656</t>
        </is>
      </c>
      <c r="AY1261" t="inlineStr">
        <is>
          <t>2271314200002656</t>
        </is>
      </c>
      <c r="AZ1261" t="inlineStr">
        <is>
          <t>BOOK</t>
        </is>
      </c>
      <c r="BB1261" t="inlineStr">
        <is>
          <t>9780471906520</t>
        </is>
      </c>
      <c r="BC1261" t="inlineStr">
        <is>
          <t>32285001110062</t>
        </is>
      </c>
      <c r="BD1261" t="inlineStr">
        <is>
          <t>893327363</t>
        </is>
      </c>
    </row>
    <row r="1262">
      <c r="A1262" t="inlineStr">
        <is>
          <t>No</t>
        </is>
      </c>
      <c r="B1262" t="inlineStr">
        <is>
          <t>QD75.4.E4 S77 1986</t>
        </is>
      </c>
      <c r="C1262" t="inlineStr">
        <is>
          <t>0                      QD 0075400E  4                  S  77          1986</t>
        </is>
      </c>
      <c r="D1262" t="inlineStr">
        <is>
          <t>Chemical pattern recognition / O. Štrouf.</t>
        </is>
      </c>
      <c r="F1262" t="inlineStr">
        <is>
          <t>No</t>
        </is>
      </c>
      <c r="G1262" t="inlineStr">
        <is>
          <t>1</t>
        </is>
      </c>
      <c r="H1262" t="inlineStr">
        <is>
          <t>No</t>
        </is>
      </c>
      <c r="I1262" t="inlineStr">
        <is>
          <t>No</t>
        </is>
      </c>
      <c r="J1262" t="inlineStr">
        <is>
          <t>0</t>
        </is>
      </c>
      <c r="K1262" t="inlineStr">
        <is>
          <t>Štrouf, Oldřich.</t>
        </is>
      </c>
      <c r="L1262" t="inlineStr">
        <is>
          <t>Letchworth, Hertfordshire, England : Research Studies Press ; New York : Wiley, c1986.</t>
        </is>
      </c>
      <c r="M1262" t="inlineStr">
        <is>
          <t>1986</t>
        </is>
      </c>
      <c r="O1262" t="inlineStr">
        <is>
          <t>eng</t>
        </is>
      </c>
      <c r="P1262" t="inlineStr">
        <is>
          <t>enk</t>
        </is>
      </c>
      <c r="Q1262" t="inlineStr">
        <is>
          <t>Chemometrics series ; 11</t>
        </is>
      </c>
      <c r="R1262" t="inlineStr">
        <is>
          <t xml:space="preserve">QD </t>
        </is>
      </c>
      <c r="S1262" t="n">
        <v>2</v>
      </c>
      <c r="T1262" t="n">
        <v>2</v>
      </c>
      <c r="U1262" t="inlineStr">
        <is>
          <t>1993-09-01</t>
        </is>
      </c>
      <c r="V1262" t="inlineStr">
        <is>
          <t>1993-09-01</t>
        </is>
      </c>
      <c r="W1262" t="inlineStr">
        <is>
          <t>1993-01-22</t>
        </is>
      </c>
      <c r="X1262" t="inlineStr">
        <is>
          <t>1993-01-22</t>
        </is>
      </c>
      <c r="Y1262" t="n">
        <v>175</v>
      </c>
      <c r="Z1262" t="n">
        <v>127</v>
      </c>
      <c r="AA1262" t="n">
        <v>129</v>
      </c>
      <c r="AB1262" t="n">
        <v>2</v>
      </c>
      <c r="AC1262" t="n">
        <v>2</v>
      </c>
      <c r="AD1262" t="n">
        <v>7</v>
      </c>
      <c r="AE1262" t="n">
        <v>7</v>
      </c>
      <c r="AF1262" t="n">
        <v>1</v>
      </c>
      <c r="AG1262" t="n">
        <v>1</v>
      </c>
      <c r="AH1262" t="n">
        <v>2</v>
      </c>
      <c r="AI1262" t="n">
        <v>2</v>
      </c>
      <c r="AJ1262" t="n">
        <v>4</v>
      </c>
      <c r="AK1262" t="n">
        <v>4</v>
      </c>
      <c r="AL1262" t="n">
        <v>1</v>
      </c>
      <c r="AM1262" t="n">
        <v>1</v>
      </c>
      <c r="AN1262" t="n">
        <v>0</v>
      </c>
      <c r="AO1262" t="n">
        <v>0</v>
      </c>
      <c r="AP1262" t="inlineStr">
        <is>
          <t>No</t>
        </is>
      </c>
      <c r="AQ1262" t="inlineStr">
        <is>
          <t>Yes</t>
        </is>
      </c>
      <c r="AR1262">
        <f>HYPERLINK("http://catalog.hathitrust.org/Record/000833438","HathiTrust Record")</f>
        <v/>
      </c>
      <c r="AS1262">
        <f>HYPERLINK("https://creighton-primo.hosted.exlibrisgroup.com/primo-explore/search?tab=default_tab&amp;search_scope=EVERYTHING&amp;vid=01CRU&amp;lang=en_US&amp;offset=0&amp;query=any,contains,991000953339702656","Catalog Record")</f>
        <v/>
      </c>
      <c r="AT1262">
        <f>HYPERLINK("http://www.worldcat.org/oclc/14693061","WorldCat Record")</f>
        <v/>
      </c>
      <c r="AU1262" t="inlineStr">
        <is>
          <t>9093275:eng</t>
        </is>
      </c>
      <c r="AV1262" t="inlineStr">
        <is>
          <t>14693061</t>
        </is>
      </c>
      <c r="AW1262" t="inlineStr">
        <is>
          <t>991000953339702656</t>
        </is>
      </c>
      <c r="AX1262" t="inlineStr">
        <is>
          <t>991000953339702656</t>
        </is>
      </c>
      <c r="AY1262" t="inlineStr">
        <is>
          <t>2257334770002656</t>
        </is>
      </c>
      <c r="AZ1262" t="inlineStr">
        <is>
          <t>BOOK</t>
        </is>
      </c>
      <c r="BB1262" t="inlineStr">
        <is>
          <t>9780471912521</t>
        </is>
      </c>
      <c r="BC1262" t="inlineStr">
        <is>
          <t>32285001515047</t>
        </is>
      </c>
      <c r="BD1262" t="inlineStr">
        <is>
          <t>893522161</t>
        </is>
      </c>
    </row>
    <row r="1263">
      <c r="A1263" t="inlineStr">
        <is>
          <t>No</t>
        </is>
      </c>
      <c r="B1263" t="inlineStr">
        <is>
          <t>QD75.4.S25 W66 1987</t>
        </is>
      </c>
      <c r="C1263" t="inlineStr">
        <is>
          <t>0                      QD 0075400S  25                 W  66          1987</t>
        </is>
      </c>
      <c r="D1263" t="inlineStr">
        <is>
          <t>Samples and standards / authors, Brian W. Woodget, Derek Cooper ; editor, Norman B. Chapman.</t>
        </is>
      </c>
      <c r="F1263" t="inlineStr">
        <is>
          <t>No</t>
        </is>
      </c>
      <c r="G1263" t="inlineStr">
        <is>
          <t>1</t>
        </is>
      </c>
      <c r="H1263" t="inlineStr">
        <is>
          <t>No</t>
        </is>
      </c>
      <c r="I1263" t="inlineStr">
        <is>
          <t>No</t>
        </is>
      </c>
      <c r="J1263" t="inlineStr">
        <is>
          <t>0</t>
        </is>
      </c>
      <c r="K1263" t="inlineStr">
        <is>
          <t>Woodget, Brian W.</t>
        </is>
      </c>
      <c r="L1263" t="inlineStr">
        <is>
          <t>Chichester [West Sussex] ; New York : Published on behalf of ACOL, London, by Wiley, c1987.</t>
        </is>
      </c>
      <c r="M1263" t="inlineStr">
        <is>
          <t>1986</t>
        </is>
      </c>
      <c r="O1263" t="inlineStr">
        <is>
          <t>eng</t>
        </is>
      </c>
      <c r="P1263" t="inlineStr">
        <is>
          <t>enk</t>
        </is>
      </c>
      <c r="Q1263" t="inlineStr">
        <is>
          <t>Analytical chemistry by open learning</t>
        </is>
      </c>
      <c r="R1263" t="inlineStr">
        <is>
          <t xml:space="preserve">QD </t>
        </is>
      </c>
      <c r="S1263" t="n">
        <v>8</v>
      </c>
      <c r="T1263" t="n">
        <v>8</v>
      </c>
      <c r="U1263" t="inlineStr">
        <is>
          <t>1997-03-17</t>
        </is>
      </c>
      <c r="V1263" t="inlineStr">
        <is>
          <t>1997-03-17</t>
        </is>
      </c>
      <c r="W1263" t="inlineStr">
        <is>
          <t>1993-01-22</t>
        </is>
      </c>
      <c r="X1263" t="inlineStr">
        <is>
          <t>1993-01-22</t>
        </is>
      </c>
      <c r="Y1263" t="n">
        <v>311</v>
      </c>
      <c r="Z1263" t="n">
        <v>208</v>
      </c>
      <c r="AA1263" t="n">
        <v>219</v>
      </c>
      <c r="AB1263" t="n">
        <v>3</v>
      </c>
      <c r="AC1263" t="n">
        <v>3</v>
      </c>
      <c r="AD1263" t="n">
        <v>7</v>
      </c>
      <c r="AE1263" t="n">
        <v>7</v>
      </c>
      <c r="AF1263" t="n">
        <v>3</v>
      </c>
      <c r="AG1263" t="n">
        <v>3</v>
      </c>
      <c r="AH1263" t="n">
        <v>1</v>
      </c>
      <c r="AI1263" t="n">
        <v>1</v>
      </c>
      <c r="AJ1263" t="n">
        <v>3</v>
      </c>
      <c r="AK1263" t="n">
        <v>3</v>
      </c>
      <c r="AL1263" t="n">
        <v>2</v>
      </c>
      <c r="AM1263" t="n">
        <v>2</v>
      </c>
      <c r="AN1263" t="n">
        <v>0</v>
      </c>
      <c r="AO1263" t="n">
        <v>0</v>
      </c>
      <c r="AP1263" t="inlineStr">
        <is>
          <t>No</t>
        </is>
      </c>
      <c r="AQ1263" t="inlineStr">
        <is>
          <t>Yes</t>
        </is>
      </c>
      <c r="AR1263">
        <f>HYPERLINK("http://catalog.hathitrust.org/Record/000834344","HathiTrust Record")</f>
        <v/>
      </c>
      <c r="AS1263">
        <f>HYPERLINK("https://creighton-primo.hosted.exlibrisgroup.com/primo-explore/search?tab=default_tab&amp;search_scope=EVERYTHING&amp;vid=01CRU&amp;lang=en_US&amp;offset=0&amp;query=any,contains,991000917629702656","Catalog Record")</f>
        <v/>
      </c>
      <c r="AT1263">
        <f>HYPERLINK("http://www.worldcat.org/oclc/14187641","WorldCat Record")</f>
        <v/>
      </c>
      <c r="AU1263" t="inlineStr">
        <is>
          <t>7761771:eng</t>
        </is>
      </c>
      <c r="AV1263" t="inlineStr">
        <is>
          <t>14187641</t>
        </is>
      </c>
      <c r="AW1263" t="inlineStr">
        <is>
          <t>991000917629702656</t>
        </is>
      </c>
      <c r="AX1263" t="inlineStr">
        <is>
          <t>991000917629702656</t>
        </is>
      </c>
      <c r="AY1263" t="inlineStr">
        <is>
          <t>2260466610002656</t>
        </is>
      </c>
      <c r="AZ1263" t="inlineStr">
        <is>
          <t>BOOK</t>
        </is>
      </c>
      <c r="BB1263" t="inlineStr">
        <is>
          <t>9780471912897</t>
        </is>
      </c>
      <c r="BC1263" t="inlineStr">
        <is>
          <t>32285001515070</t>
        </is>
      </c>
      <c r="BD1263" t="inlineStr">
        <is>
          <t>893407658</t>
        </is>
      </c>
    </row>
    <row r="1264">
      <c r="A1264" t="inlineStr">
        <is>
          <t>No</t>
        </is>
      </c>
      <c r="B1264" t="inlineStr">
        <is>
          <t>QD75.4.S8 B74 1990</t>
        </is>
      </c>
      <c r="C1264" t="inlineStr">
        <is>
          <t>0                      QD 0075400S  8                  B  74          1990</t>
        </is>
      </c>
      <c r="D1264" t="inlineStr">
        <is>
          <t>Chemometrics : applications of mathematics and statistics to laboratory systems / Richard G. Brereton.</t>
        </is>
      </c>
      <c r="F1264" t="inlineStr">
        <is>
          <t>No</t>
        </is>
      </c>
      <c r="G1264" t="inlineStr">
        <is>
          <t>1</t>
        </is>
      </c>
      <c r="H1264" t="inlineStr">
        <is>
          <t>No</t>
        </is>
      </c>
      <c r="I1264" t="inlineStr">
        <is>
          <t>No</t>
        </is>
      </c>
      <c r="J1264" t="inlineStr">
        <is>
          <t>0</t>
        </is>
      </c>
      <c r="K1264" t="inlineStr">
        <is>
          <t>Brereton, Richard G.</t>
        </is>
      </c>
      <c r="L1264" t="inlineStr">
        <is>
          <t>New York : E. Horwood, 1990.</t>
        </is>
      </c>
      <c r="M1264" t="inlineStr">
        <is>
          <t>1990</t>
        </is>
      </c>
      <c r="O1264" t="inlineStr">
        <is>
          <t>eng</t>
        </is>
      </c>
      <c r="P1264" t="inlineStr">
        <is>
          <t>nyu</t>
        </is>
      </c>
      <c r="Q1264" t="inlineStr">
        <is>
          <t>Ellis Horwood series in chemical computation, statistics, and information</t>
        </is>
      </c>
      <c r="R1264" t="inlineStr">
        <is>
          <t xml:space="preserve">QD </t>
        </is>
      </c>
      <c r="S1264" t="n">
        <v>7</v>
      </c>
      <c r="T1264" t="n">
        <v>7</v>
      </c>
      <c r="U1264" t="inlineStr">
        <is>
          <t>1998-03-21</t>
        </is>
      </c>
      <c r="V1264" t="inlineStr">
        <is>
          <t>1998-03-21</t>
        </is>
      </c>
      <c r="W1264" t="inlineStr">
        <is>
          <t>1991-06-14</t>
        </is>
      </c>
      <c r="X1264" t="inlineStr">
        <is>
          <t>1991-06-14</t>
        </is>
      </c>
      <c r="Y1264" t="n">
        <v>355</v>
      </c>
      <c r="Z1264" t="n">
        <v>272</v>
      </c>
      <c r="AA1264" t="n">
        <v>274</v>
      </c>
      <c r="AB1264" t="n">
        <v>5</v>
      </c>
      <c r="AC1264" t="n">
        <v>5</v>
      </c>
      <c r="AD1264" t="n">
        <v>14</v>
      </c>
      <c r="AE1264" t="n">
        <v>14</v>
      </c>
      <c r="AF1264" t="n">
        <v>7</v>
      </c>
      <c r="AG1264" t="n">
        <v>7</v>
      </c>
      <c r="AH1264" t="n">
        <v>2</v>
      </c>
      <c r="AI1264" t="n">
        <v>2</v>
      </c>
      <c r="AJ1264" t="n">
        <v>4</v>
      </c>
      <c r="AK1264" t="n">
        <v>4</v>
      </c>
      <c r="AL1264" t="n">
        <v>4</v>
      </c>
      <c r="AM1264" t="n">
        <v>4</v>
      </c>
      <c r="AN1264" t="n">
        <v>0</v>
      </c>
      <c r="AO1264" t="n">
        <v>0</v>
      </c>
      <c r="AP1264" t="inlineStr">
        <is>
          <t>No</t>
        </is>
      </c>
      <c r="AQ1264" t="inlineStr">
        <is>
          <t>Yes</t>
        </is>
      </c>
      <c r="AR1264">
        <f>HYPERLINK("http://catalog.hathitrust.org/Record/009492402","HathiTrust Record")</f>
        <v/>
      </c>
      <c r="AS1264">
        <f>HYPERLINK("https://creighton-primo.hosted.exlibrisgroup.com/primo-explore/search?tab=default_tab&amp;search_scope=EVERYTHING&amp;vid=01CRU&amp;lang=en_US&amp;offset=0&amp;query=any,contains,991001752199702656","Catalog Record")</f>
        <v/>
      </c>
      <c r="AT1264">
        <f>HYPERLINK("http://www.worldcat.org/oclc/22183712","WorldCat Record")</f>
        <v/>
      </c>
      <c r="AU1264" t="inlineStr">
        <is>
          <t>3769016794:eng</t>
        </is>
      </c>
      <c r="AV1264" t="inlineStr">
        <is>
          <t>22183712</t>
        </is>
      </c>
      <c r="AW1264" t="inlineStr">
        <is>
          <t>991001752199702656</t>
        </is>
      </c>
      <c r="AX1264" t="inlineStr">
        <is>
          <t>991001752199702656</t>
        </is>
      </c>
      <c r="AY1264" t="inlineStr">
        <is>
          <t>2259025630002656</t>
        </is>
      </c>
      <c r="AZ1264" t="inlineStr">
        <is>
          <t>BOOK</t>
        </is>
      </c>
      <c r="BB1264" t="inlineStr">
        <is>
          <t>9780131313507</t>
        </is>
      </c>
      <c r="BC1264" t="inlineStr">
        <is>
          <t>32285000656248</t>
        </is>
      </c>
      <c r="BD1264" t="inlineStr">
        <is>
          <t>893590605</t>
        </is>
      </c>
    </row>
    <row r="1265">
      <c r="A1265" t="inlineStr">
        <is>
          <t>No</t>
        </is>
      </c>
      <c r="B1265" t="inlineStr">
        <is>
          <t>QD75.4.S8 C46 1988</t>
        </is>
      </c>
      <c r="C1265" t="inlineStr">
        <is>
          <t>0                      QD 0075400S  8                  C  46          1988</t>
        </is>
      </c>
      <c r="D1265" t="inlineStr">
        <is>
          <t>Chemometrics : a textbook / D.L. Massart ... [et al.].</t>
        </is>
      </c>
      <c r="F1265" t="inlineStr">
        <is>
          <t>No</t>
        </is>
      </c>
      <c r="G1265" t="inlineStr">
        <is>
          <t>1</t>
        </is>
      </c>
      <c r="H1265" t="inlineStr">
        <is>
          <t>No</t>
        </is>
      </c>
      <c r="I1265" t="inlineStr">
        <is>
          <t>No</t>
        </is>
      </c>
      <c r="J1265" t="inlineStr">
        <is>
          <t>0</t>
        </is>
      </c>
      <c r="L1265" t="inlineStr">
        <is>
          <t>Amsterdam ; New York : Elsevier ; New York, NY, U.S.A. : Distributors for the U.S. and Canada, Elsevier Science Pub. Co., 1988.</t>
        </is>
      </c>
      <c r="M1265" t="inlineStr">
        <is>
          <t>1988</t>
        </is>
      </c>
      <c r="O1265" t="inlineStr">
        <is>
          <t>eng</t>
        </is>
      </c>
      <c r="P1265" t="inlineStr">
        <is>
          <t xml:space="preserve">ne </t>
        </is>
      </c>
      <c r="Q1265" t="inlineStr">
        <is>
          <t>Data handling in science and technology ; v. 2</t>
        </is>
      </c>
      <c r="R1265" t="inlineStr">
        <is>
          <t xml:space="preserve">QD </t>
        </is>
      </c>
      <c r="S1265" t="n">
        <v>4</v>
      </c>
      <c r="T1265" t="n">
        <v>4</v>
      </c>
      <c r="U1265" t="inlineStr">
        <is>
          <t>1998-03-21</t>
        </is>
      </c>
      <c r="V1265" t="inlineStr">
        <is>
          <t>1998-03-21</t>
        </is>
      </c>
      <c r="W1265" t="inlineStr">
        <is>
          <t>1993-01-22</t>
        </is>
      </c>
      <c r="X1265" t="inlineStr">
        <is>
          <t>1993-01-22</t>
        </is>
      </c>
      <c r="Y1265" t="n">
        <v>396</v>
      </c>
      <c r="Z1265" t="n">
        <v>241</v>
      </c>
      <c r="AA1265" t="n">
        <v>292</v>
      </c>
      <c r="AB1265" t="n">
        <v>4</v>
      </c>
      <c r="AC1265" t="n">
        <v>4</v>
      </c>
      <c r="AD1265" t="n">
        <v>14</v>
      </c>
      <c r="AE1265" t="n">
        <v>16</v>
      </c>
      <c r="AF1265" t="n">
        <v>6</v>
      </c>
      <c r="AG1265" t="n">
        <v>7</v>
      </c>
      <c r="AH1265" t="n">
        <v>3</v>
      </c>
      <c r="AI1265" t="n">
        <v>4</v>
      </c>
      <c r="AJ1265" t="n">
        <v>8</v>
      </c>
      <c r="AK1265" t="n">
        <v>8</v>
      </c>
      <c r="AL1265" t="n">
        <v>3</v>
      </c>
      <c r="AM1265" t="n">
        <v>3</v>
      </c>
      <c r="AN1265" t="n">
        <v>0</v>
      </c>
      <c r="AO1265" t="n">
        <v>0</v>
      </c>
      <c r="AP1265" t="inlineStr">
        <is>
          <t>No</t>
        </is>
      </c>
      <c r="AQ1265" t="inlineStr">
        <is>
          <t>No</t>
        </is>
      </c>
      <c r="AS1265">
        <f>HYPERLINK("https://creighton-primo.hosted.exlibrisgroup.com/primo-explore/search?tab=default_tab&amp;search_scope=EVERYTHING&amp;vid=01CRU&amp;lang=en_US&amp;offset=0&amp;query=any,contains,991001037709702656","Catalog Record")</f>
        <v/>
      </c>
      <c r="AT1265">
        <f>HYPERLINK("http://www.worldcat.org/oclc/15550281","WorldCat Record")</f>
        <v/>
      </c>
      <c r="AU1265" t="inlineStr">
        <is>
          <t>800115646:eng</t>
        </is>
      </c>
      <c r="AV1265" t="inlineStr">
        <is>
          <t>15550281</t>
        </is>
      </c>
      <c r="AW1265" t="inlineStr">
        <is>
          <t>991001037709702656</t>
        </is>
      </c>
      <c r="AX1265" t="inlineStr">
        <is>
          <t>991001037709702656</t>
        </is>
      </c>
      <c r="AY1265" t="inlineStr">
        <is>
          <t>2256378080002656</t>
        </is>
      </c>
      <c r="AZ1265" t="inlineStr">
        <is>
          <t>BOOK</t>
        </is>
      </c>
      <c r="BB1265" t="inlineStr">
        <is>
          <t>9780444426604</t>
        </is>
      </c>
      <c r="BC1265" t="inlineStr">
        <is>
          <t>32285001515088</t>
        </is>
      </c>
      <c r="BD1265" t="inlineStr">
        <is>
          <t>893608497</t>
        </is>
      </c>
    </row>
    <row r="1266">
      <c r="A1266" t="inlineStr">
        <is>
          <t>No</t>
        </is>
      </c>
      <c r="B1266" t="inlineStr">
        <is>
          <t>QD75.4.S8 M45 2000</t>
        </is>
      </c>
      <c r="C1266" t="inlineStr">
        <is>
          <t>0                      QD 0075400S  8                  M  45          2000</t>
        </is>
      </c>
      <c r="D1266" t="inlineStr">
        <is>
          <t>Statistical methods in analytical chemistry / Peter C. Meier, Richard E. Zünd.</t>
        </is>
      </c>
      <c r="F1266" t="inlineStr">
        <is>
          <t>No</t>
        </is>
      </c>
      <c r="G1266" t="inlineStr">
        <is>
          <t>1</t>
        </is>
      </c>
      <c r="H1266" t="inlineStr">
        <is>
          <t>No</t>
        </is>
      </c>
      <c r="I1266" t="inlineStr">
        <is>
          <t>No</t>
        </is>
      </c>
      <c r="J1266" t="inlineStr">
        <is>
          <t>0</t>
        </is>
      </c>
      <c r="K1266" t="inlineStr">
        <is>
          <t>Meier, Peter C., 1945-</t>
        </is>
      </c>
      <c r="L1266" t="inlineStr">
        <is>
          <t>New York : Wiley, c2000.</t>
        </is>
      </c>
      <c r="M1266" t="inlineStr">
        <is>
          <t>2000</t>
        </is>
      </c>
      <c r="N1266" t="inlineStr">
        <is>
          <t>2nd ed.</t>
        </is>
      </c>
      <c r="O1266" t="inlineStr">
        <is>
          <t>eng</t>
        </is>
      </c>
      <c r="P1266" t="inlineStr">
        <is>
          <t>nyu</t>
        </is>
      </c>
      <c r="Q1266" t="inlineStr">
        <is>
          <t>Chemical analysis ; v. 153</t>
        </is>
      </c>
      <c r="R1266" t="inlineStr">
        <is>
          <t xml:space="preserve">QD </t>
        </is>
      </c>
      <c r="S1266" t="n">
        <v>1</v>
      </c>
      <c r="T1266" t="n">
        <v>1</v>
      </c>
      <c r="U1266" t="inlineStr">
        <is>
          <t>2004-03-17</t>
        </is>
      </c>
      <c r="V1266" t="inlineStr">
        <is>
          <t>2004-03-17</t>
        </is>
      </c>
      <c r="W1266" t="inlineStr">
        <is>
          <t>2004-03-17</t>
        </is>
      </c>
      <c r="X1266" t="inlineStr">
        <is>
          <t>2004-03-17</t>
        </is>
      </c>
      <c r="Y1266" t="n">
        <v>411</v>
      </c>
      <c r="Z1266" t="n">
        <v>290</v>
      </c>
      <c r="AA1266" t="n">
        <v>488</v>
      </c>
      <c r="AB1266" t="n">
        <v>2</v>
      </c>
      <c r="AC1266" t="n">
        <v>2</v>
      </c>
      <c r="AD1266" t="n">
        <v>18</v>
      </c>
      <c r="AE1266" t="n">
        <v>22</v>
      </c>
      <c r="AF1266" t="n">
        <v>5</v>
      </c>
      <c r="AG1266" t="n">
        <v>7</v>
      </c>
      <c r="AH1266" t="n">
        <v>5</v>
      </c>
      <c r="AI1266" t="n">
        <v>7</v>
      </c>
      <c r="AJ1266" t="n">
        <v>11</v>
      </c>
      <c r="AK1266" t="n">
        <v>12</v>
      </c>
      <c r="AL1266" t="n">
        <v>1</v>
      </c>
      <c r="AM1266" t="n">
        <v>1</v>
      </c>
      <c r="AN1266" t="n">
        <v>0</v>
      </c>
      <c r="AO1266" t="n">
        <v>0</v>
      </c>
      <c r="AP1266" t="inlineStr">
        <is>
          <t>No</t>
        </is>
      </c>
      <c r="AQ1266" t="inlineStr">
        <is>
          <t>No</t>
        </is>
      </c>
      <c r="AS1266">
        <f>HYPERLINK("https://creighton-primo.hosted.exlibrisgroup.com/primo-explore/search?tab=default_tab&amp;search_scope=EVERYTHING&amp;vid=01CRU&amp;lang=en_US&amp;offset=0&amp;query=any,contains,991004243069702656","Catalog Record")</f>
        <v/>
      </c>
      <c r="AT1266">
        <f>HYPERLINK("http://www.worldcat.org/oclc/40964998","WorldCat Record")</f>
        <v/>
      </c>
      <c r="AU1266" t="inlineStr">
        <is>
          <t>116908348:eng</t>
        </is>
      </c>
      <c r="AV1266" t="inlineStr">
        <is>
          <t>40964998</t>
        </is>
      </c>
      <c r="AW1266" t="inlineStr">
        <is>
          <t>991004243069702656</t>
        </is>
      </c>
      <c r="AX1266" t="inlineStr">
        <is>
          <t>991004243069702656</t>
        </is>
      </c>
      <c r="AY1266" t="inlineStr">
        <is>
          <t>2268193130002656</t>
        </is>
      </c>
      <c r="AZ1266" t="inlineStr">
        <is>
          <t>BOOK</t>
        </is>
      </c>
      <c r="BB1266" t="inlineStr">
        <is>
          <t>9780471293637</t>
        </is>
      </c>
      <c r="BC1266" t="inlineStr">
        <is>
          <t>32285004894340</t>
        </is>
      </c>
      <c r="BD1266" t="inlineStr">
        <is>
          <t>893325113</t>
        </is>
      </c>
    </row>
    <row r="1267">
      <c r="A1267" t="inlineStr">
        <is>
          <t>No</t>
        </is>
      </c>
      <c r="B1267" t="inlineStr">
        <is>
          <t>QD75.4.S8 M55 1988</t>
        </is>
      </c>
      <c r="C1267" t="inlineStr">
        <is>
          <t>0                      QD 0075400S  8                  M  55          1988</t>
        </is>
      </c>
      <c r="D1267" t="inlineStr">
        <is>
          <t>Statistics for analytical chemistry / J.C. Miller and J.N. Miller.</t>
        </is>
      </c>
      <c r="F1267" t="inlineStr">
        <is>
          <t>No</t>
        </is>
      </c>
      <c r="G1267" t="inlineStr">
        <is>
          <t>1</t>
        </is>
      </c>
      <c r="H1267" t="inlineStr">
        <is>
          <t>No</t>
        </is>
      </c>
      <c r="I1267" t="inlineStr">
        <is>
          <t>No</t>
        </is>
      </c>
      <c r="J1267" t="inlineStr">
        <is>
          <t>0</t>
        </is>
      </c>
      <c r="K1267" t="inlineStr">
        <is>
          <t>Miller, J. C. (Jane Charlotte)</t>
        </is>
      </c>
      <c r="L1267" t="inlineStr">
        <is>
          <t>Chichester, England : E. Horwood ; New York : Halsted Press, 1988.</t>
        </is>
      </c>
      <c r="M1267" t="inlineStr">
        <is>
          <t>1988</t>
        </is>
      </c>
      <c r="N1267" t="inlineStr">
        <is>
          <t>2nd ed.</t>
        </is>
      </c>
      <c r="O1267" t="inlineStr">
        <is>
          <t>eng</t>
        </is>
      </c>
      <c r="P1267" t="inlineStr">
        <is>
          <t>enk</t>
        </is>
      </c>
      <c r="Q1267" t="inlineStr">
        <is>
          <t>Ellis Horwood series in analytical chemistry</t>
        </is>
      </c>
      <c r="R1267" t="inlineStr">
        <is>
          <t xml:space="preserve">QD </t>
        </is>
      </c>
      <c r="S1267" t="n">
        <v>5</v>
      </c>
      <c r="T1267" t="n">
        <v>5</v>
      </c>
      <c r="U1267" t="inlineStr">
        <is>
          <t>1996-03-07</t>
        </is>
      </c>
      <c r="V1267" t="inlineStr">
        <is>
          <t>1996-03-07</t>
        </is>
      </c>
      <c r="W1267" t="inlineStr">
        <is>
          <t>1992-05-13</t>
        </is>
      </c>
      <c r="X1267" t="inlineStr">
        <is>
          <t>1992-05-13</t>
        </is>
      </c>
      <c r="Y1267" t="n">
        <v>405</v>
      </c>
      <c r="Z1267" t="n">
        <v>291</v>
      </c>
      <c r="AA1267" t="n">
        <v>722</v>
      </c>
      <c r="AB1267" t="n">
        <v>4</v>
      </c>
      <c r="AC1267" t="n">
        <v>7</v>
      </c>
      <c r="AD1267" t="n">
        <v>15</v>
      </c>
      <c r="AE1267" t="n">
        <v>35</v>
      </c>
      <c r="AF1267" t="n">
        <v>4</v>
      </c>
      <c r="AG1267" t="n">
        <v>12</v>
      </c>
      <c r="AH1267" t="n">
        <v>3</v>
      </c>
      <c r="AI1267" t="n">
        <v>11</v>
      </c>
      <c r="AJ1267" t="n">
        <v>8</v>
      </c>
      <c r="AK1267" t="n">
        <v>16</v>
      </c>
      <c r="AL1267" t="n">
        <v>3</v>
      </c>
      <c r="AM1267" t="n">
        <v>6</v>
      </c>
      <c r="AN1267" t="n">
        <v>0</v>
      </c>
      <c r="AO1267" t="n">
        <v>0</v>
      </c>
      <c r="AP1267" t="inlineStr">
        <is>
          <t>No</t>
        </is>
      </c>
      <c r="AQ1267" t="inlineStr">
        <is>
          <t>Yes</t>
        </is>
      </c>
      <c r="AR1267">
        <f>HYPERLINK("http://catalog.hathitrust.org/Record/000916601","HathiTrust Record")</f>
        <v/>
      </c>
      <c r="AS1267">
        <f>HYPERLINK("https://creighton-primo.hosted.exlibrisgroup.com/primo-explore/search?tab=default_tab&amp;search_scope=EVERYTHING&amp;vid=01CRU&amp;lang=en_US&amp;offset=0&amp;query=any,contains,991001119829702656","Catalog Record")</f>
        <v/>
      </c>
      <c r="AT1267">
        <f>HYPERLINK("http://www.worldcat.org/oclc/16578868","WorldCat Record")</f>
        <v/>
      </c>
      <c r="AU1267" t="inlineStr">
        <is>
          <t>4168800:eng</t>
        </is>
      </c>
      <c r="AV1267" t="inlineStr">
        <is>
          <t>16578868</t>
        </is>
      </c>
      <c r="AW1267" t="inlineStr">
        <is>
          <t>991001119829702656</t>
        </is>
      </c>
      <c r="AX1267" t="inlineStr">
        <is>
          <t>991001119829702656</t>
        </is>
      </c>
      <c r="AY1267" t="inlineStr">
        <is>
          <t>2271957250002656</t>
        </is>
      </c>
      <c r="AZ1267" t="inlineStr">
        <is>
          <t>BOOK</t>
        </is>
      </c>
      <c r="BB1267" t="inlineStr">
        <is>
          <t>9780470209028</t>
        </is>
      </c>
      <c r="BC1267" t="inlineStr">
        <is>
          <t>32285001110054</t>
        </is>
      </c>
      <c r="BD1267" t="inlineStr">
        <is>
          <t>893803361</t>
        </is>
      </c>
    </row>
    <row r="1268">
      <c r="A1268" t="inlineStr">
        <is>
          <t>No</t>
        </is>
      </c>
      <c r="B1268" t="inlineStr">
        <is>
          <t>QD75.9 .P76 1988</t>
        </is>
      </c>
      <c r="C1268" t="inlineStr">
        <is>
          <t>0                      QD 0075900P  76          1988</t>
        </is>
      </c>
      <c r="D1268" t="inlineStr">
        <is>
          <t>Problem solving in analytical chemistry : a practical handbook containing over 1000 worked examples, problems and answers / Themistocles P. Hadjiioannou ... [et al.].</t>
        </is>
      </c>
      <c r="F1268" t="inlineStr">
        <is>
          <t>No</t>
        </is>
      </c>
      <c r="G1268" t="inlineStr">
        <is>
          <t>1</t>
        </is>
      </c>
      <c r="H1268" t="inlineStr">
        <is>
          <t>Yes</t>
        </is>
      </c>
      <c r="I1268" t="inlineStr">
        <is>
          <t>No</t>
        </is>
      </c>
      <c r="J1268" t="inlineStr">
        <is>
          <t>0</t>
        </is>
      </c>
      <c r="L1268" t="inlineStr">
        <is>
          <t>Oxford, England ; New York : Pergamon Press, 1988.</t>
        </is>
      </c>
      <c r="M1268" t="inlineStr">
        <is>
          <t>1988</t>
        </is>
      </c>
      <c r="N1268" t="inlineStr">
        <is>
          <t>1st ed.</t>
        </is>
      </c>
      <c r="O1268" t="inlineStr">
        <is>
          <t>eng</t>
        </is>
      </c>
      <c r="P1268" t="inlineStr">
        <is>
          <t>enk</t>
        </is>
      </c>
      <c r="R1268" t="inlineStr">
        <is>
          <t xml:space="preserve">QD </t>
        </is>
      </c>
      <c r="S1268" t="n">
        <v>9</v>
      </c>
      <c r="T1268" t="n">
        <v>24</v>
      </c>
      <c r="U1268" t="inlineStr">
        <is>
          <t>1995-09-13</t>
        </is>
      </c>
      <c r="V1268" t="inlineStr">
        <is>
          <t>1995-09-13</t>
        </is>
      </c>
      <c r="W1268" t="inlineStr">
        <is>
          <t>1991-10-29</t>
        </is>
      </c>
      <c r="X1268" t="inlineStr">
        <is>
          <t>1996-04-02</t>
        </is>
      </c>
      <c r="Y1268" t="n">
        <v>162</v>
      </c>
      <c r="Z1268" t="n">
        <v>109</v>
      </c>
      <c r="AA1268" t="n">
        <v>119</v>
      </c>
      <c r="AB1268" t="n">
        <v>3</v>
      </c>
      <c r="AC1268" t="n">
        <v>3</v>
      </c>
      <c r="AD1268" t="n">
        <v>4</v>
      </c>
      <c r="AE1268" t="n">
        <v>4</v>
      </c>
      <c r="AF1268" t="n">
        <v>0</v>
      </c>
      <c r="AG1268" t="n">
        <v>0</v>
      </c>
      <c r="AH1268" t="n">
        <v>1</v>
      </c>
      <c r="AI1268" t="n">
        <v>1</v>
      </c>
      <c r="AJ1268" t="n">
        <v>2</v>
      </c>
      <c r="AK1268" t="n">
        <v>2</v>
      </c>
      <c r="AL1268" t="n">
        <v>2</v>
      </c>
      <c r="AM1268" t="n">
        <v>2</v>
      </c>
      <c r="AN1268" t="n">
        <v>0</v>
      </c>
      <c r="AO1268" t="n">
        <v>0</v>
      </c>
      <c r="AP1268" t="inlineStr">
        <is>
          <t>No</t>
        </is>
      </c>
      <c r="AQ1268" t="inlineStr">
        <is>
          <t>No</t>
        </is>
      </c>
      <c r="AS1268">
        <f>HYPERLINK("https://creighton-primo.hosted.exlibrisgroup.com/primo-explore/search?tab=default_tab&amp;search_scope=EVERYTHING&amp;vid=01CRU&amp;lang=en_US&amp;offset=0&amp;query=any,contains,991001350469702656","Catalog Record")</f>
        <v/>
      </c>
      <c r="AT1268">
        <f>HYPERLINK("http://www.worldcat.org/oclc/18441592","WorldCat Record")</f>
        <v/>
      </c>
      <c r="AU1268" t="inlineStr">
        <is>
          <t>3856152322:eng</t>
        </is>
      </c>
      <c r="AV1268" t="inlineStr">
        <is>
          <t>18441592</t>
        </is>
      </c>
      <c r="AW1268" t="inlineStr">
        <is>
          <t>991001350469702656</t>
        </is>
      </c>
      <c r="AX1268" t="inlineStr">
        <is>
          <t>991001350469702656</t>
        </is>
      </c>
      <c r="AY1268" t="inlineStr">
        <is>
          <t>2269033050002656</t>
        </is>
      </c>
      <c r="AZ1268" t="inlineStr">
        <is>
          <t>BOOK</t>
        </is>
      </c>
      <c r="BB1268" t="inlineStr">
        <is>
          <t>9780080369723</t>
        </is>
      </c>
      <c r="BC1268" t="inlineStr">
        <is>
          <t>32285000803071</t>
        </is>
      </c>
      <c r="BD1268" t="inlineStr">
        <is>
          <t>893516139</t>
        </is>
      </c>
    </row>
    <row r="1269">
      <c r="A1269" t="inlineStr">
        <is>
          <t>No</t>
        </is>
      </c>
      <c r="B1269" t="inlineStr">
        <is>
          <t>QD75.9 .P76 1988</t>
        </is>
      </c>
      <c r="C1269" t="inlineStr">
        <is>
          <t>0                      QD 0075900P  76          1988</t>
        </is>
      </c>
      <c r="D1269" t="inlineStr">
        <is>
          <t>Problem solving in analytical chemistry : a practical handbook containing over 1000 worked examples, problems and answers / Themistocles P. Hadjiioannou ... [et al.].</t>
        </is>
      </c>
      <c r="F1269" t="inlineStr">
        <is>
          <t>No</t>
        </is>
      </c>
      <c r="G1269" t="inlineStr">
        <is>
          <t>1</t>
        </is>
      </c>
      <c r="H1269" t="inlineStr">
        <is>
          <t>Yes</t>
        </is>
      </c>
      <c r="I1269" t="inlineStr">
        <is>
          <t>No</t>
        </is>
      </c>
      <c r="J1269" t="inlineStr">
        <is>
          <t>0</t>
        </is>
      </c>
      <c r="L1269" t="inlineStr">
        <is>
          <t>Oxford, England ; New York : Pergamon Press, 1988.</t>
        </is>
      </c>
      <c r="M1269" t="inlineStr">
        <is>
          <t>1988</t>
        </is>
      </c>
      <c r="N1269" t="inlineStr">
        <is>
          <t>1st ed.</t>
        </is>
      </c>
      <c r="O1269" t="inlineStr">
        <is>
          <t>eng</t>
        </is>
      </c>
      <c r="P1269" t="inlineStr">
        <is>
          <t>enk</t>
        </is>
      </c>
      <c r="R1269" t="inlineStr">
        <is>
          <t xml:space="preserve">QD </t>
        </is>
      </c>
      <c r="S1269" t="n">
        <v>15</v>
      </c>
      <c r="T1269" t="n">
        <v>24</v>
      </c>
      <c r="U1269" t="inlineStr">
        <is>
          <t>1995-09-13</t>
        </is>
      </c>
      <c r="V1269" t="inlineStr">
        <is>
          <t>1995-09-13</t>
        </is>
      </c>
      <c r="W1269" t="inlineStr">
        <is>
          <t>1996-04-02</t>
        </is>
      </c>
      <c r="X1269" t="inlineStr">
        <is>
          <t>1996-04-02</t>
        </is>
      </c>
      <c r="Y1269" t="n">
        <v>162</v>
      </c>
      <c r="Z1269" t="n">
        <v>109</v>
      </c>
      <c r="AA1269" t="n">
        <v>119</v>
      </c>
      <c r="AB1269" t="n">
        <v>3</v>
      </c>
      <c r="AC1269" t="n">
        <v>3</v>
      </c>
      <c r="AD1269" t="n">
        <v>4</v>
      </c>
      <c r="AE1269" t="n">
        <v>4</v>
      </c>
      <c r="AF1269" t="n">
        <v>0</v>
      </c>
      <c r="AG1269" t="n">
        <v>0</v>
      </c>
      <c r="AH1269" t="n">
        <v>1</v>
      </c>
      <c r="AI1269" t="n">
        <v>1</v>
      </c>
      <c r="AJ1269" t="n">
        <v>2</v>
      </c>
      <c r="AK1269" t="n">
        <v>2</v>
      </c>
      <c r="AL1269" t="n">
        <v>2</v>
      </c>
      <c r="AM1269" t="n">
        <v>2</v>
      </c>
      <c r="AN1269" t="n">
        <v>0</v>
      </c>
      <c r="AO1269" t="n">
        <v>0</v>
      </c>
      <c r="AP1269" t="inlineStr">
        <is>
          <t>No</t>
        </is>
      </c>
      <c r="AQ1269" t="inlineStr">
        <is>
          <t>No</t>
        </is>
      </c>
      <c r="AS1269">
        <f>HYPERLINK("https://creighton-primo.hosted.exlibrisgroup.com/primo-explore/search?tab=default_tab&amp;search_scope=EVERYTHING&amp;vid=01CRU&amp;lang=en_US&amp;offset=0&amp;query=any,contains,991001350469702656","Catalog Record")</f>
        <v/>
      </c>
      <c r="AT1269">
        <f>HYPERLINK("http://www.worldcat.org/oclc/18441592","WorldCat Record")</f>
        <v/>
      </c>
      <c r="AU1269" t="inlineStr">
        <is>
          <t>3856152322:eng</t>
        </is>
      </c>
      <c r="AV1269" t="inlineStr">
        <is>
          <t>18441592</t>
        </is>
      </c>
      <c r="AW1269" t="inlineStr">
        <is>
          <t>991001350469702656</t>
        </is>
      </c>
      <c r="AX1269" t="inlineStr">
        <is>
          <t>991001350469702656</t>
        </is>
      </c>
      <c r="AY1269" t="inlineStr">
        <is>
          <t>2269033050002656</t>
        </is>
      </c>
      <c r="AZ1269" t="inlineStr">
        <is>
          <t>BOOK</t>
        </is>
      </c>
      <c r="BB1269" t="inlineStr">
        <is>
          <t>9780080369723</t>
        </is>
      </c>
      <c r="BC1269" t="inlineStr">
        <is>
          <t>32285002120938</t>
        </is>
      </c>
      <c r="BD1269" t="inlineStr">
        <is>
          <t>893516138</t>
        </is>
      </c>
    </row>
    <row r="1270">
      <c r="A1270" t="inlineStr">
        <is>
          <t>No</t>
        </is>
      </c>
      <c r="B1270" t="inlineStr">
        <is>
          <t>QD77 .A54 1968</t>
        </is>
      </c>
      <c r="C1270" t="inlineStr">
        <is>
          <t>0                      QD 0077000A  54          1968</t>
        </is>
      </c>
      <c r="D1270" t="inlineStr">
        <is>
          <t>Reagent chemicals; American Chemical Society specifications.</t>
        </is>
      </c>
      <c r="F1270" t="inlineStr">
        <is>
          <t>No</t>
        </is>
      </c>
      <c r="G1270" t="inlineStr">
        <is>
          <t>1</t>
        </is>
      </c>
      <c r="H1270" t="inlineStr">
        <is>
          <t>No</t>
        </is>
      </c>
      <c r="I1270" t="inlineStr">
        <is>
          <t>No</t>
        </is>
      </c>
      <c r="J1270" t="inlineStr">
        <is>
          <t>0</t>
        </is>
      </c>
      <c r="K1270" t="inlineStr">
        <is>
          <t>American Chemical Society. Committee on Analytical Reagents.</t>
        </is>
      </c>
      <c r="L1270" t="inlineStr">
        <is>
          <t>[Washington, American Chemical Society Publications, 1968]</t>
        </is>
      </c>
      <c r="M1270" t="inlineStr">
        <is>
          <t>1968</t>
        </is>
      </c>
      <c r="N1270" t="inlineStr">
        <is>
          <t>4th ed.</t>
        </is>
      </c>
      <c r="O1270" t="inlineStr">
        <is>
          <t>eng</t>
        </is>
      </c>
      <c r="P1270" t="inlineStr">
        <is>
          <t>dcu</t>
        </is>
      </c>
      <c r="R1270" t="inlineStr">
        <is>
          <t xml:space="preserve">QD </t>
        </is>
      </c>
      <c r="S1270" t="n">
        <v>1</v>
      </c>
      <c r="T1270" t="n">
        <v>1</v>
      </c>
      <c r="U1270" t="inlineStr">
        <is>
          <t>2007-11-11</t>
        </is>
      </c>
      <c r="V1270" t="inlineStr">
        <is>
          <t>2007-11-11</t>
        </is>
      </c>
      <c r="W1270" t="inlineStr">
        <is>
          <t>1997-05-29</t>
        </is>
      </c>
      <c r="X1270" t="inlineStr">
        <is>
          <t>1997-05-29</t>
        </is>
      </c>
      <c r="Y1270" t="n">
        <v>303</v>
      </c>
      <c r="Z1270" t="n">
        <v>267</v>
      </c>
      <c r="AA1270" t="n">
        <v>509</v>
      </c>
      <c r="AB1270" t="n">
        <v>4</v>
      </c>
      <c r="AC1270" t="n">
        <v>4</v>
      </c>
      <c r="AD1270" t="n">
        <v>10</v>
      </c>
      <c r="AE1270" t="n">
        <v>17</v>
      </c>
      <c r="AF1270" t="n">
        <v>1</v>
      </c>
      <c r="AG1270" t="n">
        <v>5</v>
      </c>
      <c r="AH1270" t="n">
        <v>2</v>
      </c>
      <c r="AI1270" t="n">
        <v>4</v>
      </c>
      <c r="AJ1270" t="n">
        <v>6</v>
      </c>
      <c r="AK1270" t="n">
        <v>9</v>
      </c>
      <c r="AL1270" t="n">
        <v>3</v>
      </c>
      <c r="AM1270" t="n">
        <v>3</v>
      </c>
      <c r="AN1270" t="n">
        <v>0</v>
      </c>
      <c r="AO1270" t="n">
        <v>0</v>
      </c>
      <c r="AP1270" t="inlineStr">
        <is>
          <t>Yes</t>
        </is>
      </c>
      <c r="AQ1270" t="inlineStr">
        <is>
          <t>No</t>
        </is>
      </c>
      <c r="AR1270">
        <f>HYPERLINK("http://catalog.hathitrust.org/Record/001487087","HathiTrust Record")</f>
        <v/>
      </c>
      <c r="AS1270">
        <f>HYPERLINK("https://creighton-primo.hosted.exlibrisgroup.com/primo-explore/search?tab=default_tab&amp;search_scope=EVERYTHING&amp;vid=01CRU&amp;lang=en_US&amp;offset=0&amp;query=any,contains,991002571319702656","Catalog Record")</f>
        <v/>
      </c>
      <c r="AT1270">
        <f>HYPERLINK("http://www.worldcat.org/oclc/373698","WorldCat Record")</f>
        <v/>
      </c>
      <c r="AU1270" t="inlineStr">
        <is>
          <t>4924582051:eng</t>
        </is>
      </c>
      <c r="AV1270" t="inlineStr">
        <is>
          <t>373698</t>
        </is>
      </c>
      <c r="AW1270" t="inlineStr">
        <is>
          <t>991002571319702656</t>
        </is>
      </c>
      <c r="AX1270" t="inlineStr">
        <is>
          <t>991002571319702656</t>
        </is>
      </c>
      <c r="AY1270" t="inlineStr">
        <is>
          <t>2261177810002656</t>
        </is>
      </c>
      <c r="AZ1270" t="inlineStr">
        <is>
          <t>BOOK</t>
        </is>
      </c>
      <c r="BC1270" t="inlineStr">
        <is>
          <t>32285002778057</t>
        </is>
      </c>
      <c r="BD1270" t="inlineStr">
        <is>
          <t>893721523</t>
        </is>
      </c>
    </row>
    <row r="1271">
      <c r="A1271" t="inlineStr">
        <is>
          <t>No</t>
        </is>
      </c>
      <c r="B1271" t="inlineStr">
        <is>
          <t>QD77 .G3 1968</t>
        </is>
      </c>
      <c r="C1271" t="inlineStr">
        <is>
          <t>0                      QD 0077000G  3           1968</t>
        </is>
      </c>
      <c r="D1271" t="inlineStr">
        <is>
          <t>A handbook of laboratory solutions, by M. H. Gabb and W. E. Latchem. Edited by Philip Kogan.</t>
        </is>
      </c>
      <c r="F1271" t="inlineStr">
        <is>
          <t>No</t>
        </is>
      </c>
      <c r="G1271" t="inlineStr">
        <is>
          <t>1</t>
        </is>
      </c>
      <c r="H1271" t="inlineStr">
        <is>
          <t>No</t>
        </is>
      </c>
      <c r="I1271" t="inlineStr">
        <is>
          <t>No</t>
        </is>
      </c>
      <c r="J1271" t="inlineStr">
        <is>
          <t>0</t>
        </is>
      </c>
      <c r="K1271" t="inlineStr">
        <is>
          <t>Gabb, Michael H.</t>
        </is>
      </c>
      <c r="L1271" t="inlineStr">
        <is>
          <t>New York, Chemical Pub. Co., 1968.</t>
        </is>
      </c>
      <c r="M1271" t="inlineStr">
        <is>
          <t>1968</t>
        </is>
      </c>
      <c r="N1271" t="inlineStr">
        <is>
          <t>[1st American ed.]</t>
        </is>
      </c>
      <c r="O1271" t="inlineStr">
        <is>
          <t>eng</t>
        </is>
      </c>
      <c r="P1271" t="inlineStr">
        <is>
          <t>nyu</t>
        </is>
      </c>
      <c r="R1271" t="inlineStr">
        <is>
          <t xml:space="preserve">QD </t>
        </is>
      </c>
      <c r="S1271" t="n">
        <v>3</v>
      </c>
      <c r="T1271" t="n">
        <v>3</v>
      </c>
      <c r="U1271" t="inlineStr">
        <is>
          <t>1998-09-09</t>
        </is>
      </c>
      <c r="V1271" t="inlineStr">
        <is>
          <t>1998-09-09</t>
        </is>
      </c>
      <c r="W1271" t="inlineStr">
        <is>
          <t>1991-12-09</t>
        </is>
      </c>
      <c r="X1271" t="inlineStr">
        <is>
          <t>1991-12-09</t>
        </is>
      </c>
      <c r="Y1271" t="n">
        <v>326</v>
      </c>
      <c r="Z1271" t="n">
        <v>300</v>
      </c>
      <c r="AA1271" t="n">
        <v>337</v>
      </c>
      <c r="AB1271" t="n">
        <v>2</v>
      </c>
      <c r="AC1271" t="n">
        <v>2</v>
      </c>
      <c r="AD1271" t="n">
        <v>5</v>
      </c>
      <c r="AE1271" t="n">
        <v>5</v>
      </c>
      <c r="AF1271" t="n">
        <v>1</v>
      </c>
      <c r="AG1271" t="n">
        <v>1</v>
      </c>
      <c r="AH1271" t="n">
        <v>2</v>
      </c>
      <c r="AI1271" t="n">
        <v>2</v>
      </c>
      <c r="AJ1271" t="n">
        <v>2</v>
      </c>
      <c r="AK1271" t="n">
        <v>2</v>
      </c>
      <c r="AL1271" t="n">
        <v>1</v>
      </c>
      <c r="AM1271" t="n">
        <v>1</v>
      </c>
      <c r="AN1271" t="n">
        <v>0</v>
      </c>
      <c r="AO1271" t="n">
        <v>0</v>
      </c>
      <c r="AP1271" t="inlineStr">
        <is>
          <t>No</t>
        </is>
      </c>
      <c r="AQ1271" t="inlineStr">
        <is>
          <t>Yes</t>
        </is>
      </c>
      <c r="AR1271">
        <f>HYPERLINK("http://catalog.hathitrust.org/Record/009922324","HathiTrust Record")</f>
        <v/>
      </c>
      <c r="AS1271">
        <f>HYPERLINK("https://creighton-primo.hosted.exlibrisgroup.com/primo-explore/search?tab=default_tab&amp;search_scope=EVERYTHING&amp;vid=01CRU&amp;lang=en_US&amp;offset=0&amp;query=any,contains,991002762649702656","Catalog Record")</f>
        <v/>
      </c>
      <c r="AT1271">
        <f>HYPERLINK("http://www.worldcat.org/oclc/429910","WorldCat Record")</f>
        <v/>
      </c>
      <c r="AU1271" t="inlineStr">
        <is>
          <t>1281024:eng</t>
        </is>
      </c>
      <c r="AV1271" t="inlineStr">
        <is>
          <t>429910</t>
        </is>
      </c>
      <c r="AW1271" t="inlineStr">
        <is>
          <t>991002762649702656</t>
        </is>
      </c>
      <c r="AX1271" t="inlineStr">
        <is>
          <t>991002762649702656</t>
        </is>
      </c>
      <c r="AY1271" t="inlineStr">
        <is>
          <t>2265712510002656</t>
        </is>
      </c>
      <c r="AZ1271" t="inlineStr">
        <is>
          <t>BOOK</t>
        </is>
      </c>
      <c r="BC1271" t="inlineStr">
        <is>
          <t>32285000872449</t>
        </is>
      </c>
      <c r="BD1271" t="inlineStr">
        <is>
          <t>893233383</t>
        </is>
      </c>
    </row>
    <row r="1272">
      <c r="A1272" t="inlineStr">
        <is>
          <t>No</t>
        </is>
      </c>
      <c r="B1272" t="inlineStr">
        <is>
          <t>QD77 .H37 1999</t>
        </is>
      </c>
      <c r="C1272" t="inlineStr">
        <is>
          <t>0                      QD 0077000H  37          1999</t>
        </is>
      </c>
      <c r="D1272" t="inlineStr">
        <is>
          <t>Handbook of reagents for organic synthesis.</t>
        </is>
      </c>
      <c r="E1272" t="inlineStr">
        <is>
          <t>V. 5</t>
        </is>
      </c>
      <c r="F1272" t="inlineStr">
        <is>
          <t>Yes</t>
        </is>
      </c>
      <c r="G1272" t="inlineStr">
        <is>
          <t>1</t>
        </is>
      </c>
      <c r="H1272" t="inlineStr">
        <is>
          <t>No</t>
        </is>
      </c>
      <c r="I1272" t="inlineStr">
        <is>
          <t>No</t>
        </is>
      </c>
      <c r="J1272" t="inlineStr">
        <is>
          <t>0</t>
        </is>
      </c>
      <c r="L1272" t="inlineStr">
        <is>
          <t>Chichester ; New York : Wiley, 1999.</t>
        </is>
      </c>
      <c r="M1272" t="inlineStr">
        <is>
          <t>1999</t>
        </is>
      </c>
      <c r="O1272" t="inlineStr">
        <is>
          <t>eng</t>
        </is>
      </c>
      <c r="P1272" t="inlineStr">
        <is>
          <t>enk</t>
        </is>
      </c>
      <c r="R1272" t="inlineStr">
        <is>
          <t xml:space="preserve">QD </t>
        </is>
      </c>
      <c r="S1272" t="n">
        <v>0</v>
      </c>
      <c r="T1272" t="n">
        <v>8</v>
      </c>
      <c r="V1272" t="inlineStr">
        <is>
          <t>2005-05-04</t>
        </is>
      </c>
      <c r="W1272" t="inlineStr">
        <is>
          <t>2005-05-05</t>
        </is>
      </c>
      <c r="X1272" t="inlineStr">
        <is>
          <t>2006-02-13</t>
        </is>
      </c>
      <c r="Y1272" t="n">
        <v>583</v>
      </c>
      <c r="Z1272" t="n">
        <v>465</v>
      </c>
      <c r="AA1272" t="n">
        <v>482</v>
      </c>
      <c r="AB1272" t="n">
        <v>5</v>
      </c>
      <c r="AC1272" t="n">
        <v>5</v>
      </c>
      <c r="AD1272" t="n">
        <v>34</v>
      </c>
      <c r="AE1272" t="n">
        <v>34</v>
      </c>
      <c r="AF1272" t="n">
        <v>12</v>
      </c>
      <c r="AG1272" t="n">
        <v>12</v>
      </c>
      <c r="AH1272" t="n">
        <v>8</v>
      </c>
      <c r="AI1272" t="n">
        <v>8</v>
      </c>
      <c r="AJ1272" t="n">
        <v>19</v>
      </c>
      <c r="AK1272" t="n">
        <v>19</v>
      </c>
      <c r="AL1272" t="n">
        <v>4</v>
      </c>
      <c r="AM1272" t="n">
        <v>4</v>
      </c>
      <c r="AN1272" t="n">
        <v>0</v>
      </c>
      <c r="AO1272" t="n">
        <v>0</v>
      </c>
      <c r="AP1272" t="inlineStr">
        <is>
          <t>No</t>
        </is>
      </c>
      <c r="AQ1272" t="inlineStr">
        <is>
          <t>Yes</t>
        </is>
      </c>
      <c r="AR1272">
        <f>HYPERLINK("http://catalog.hathitrust.org/Record/004046005","HathiTrust Record")</f>
        <v/>
      </c>
      <c r="AS1272">
        <f>HYPERLINK("https://creighton-primo.hosted.exlibrisgroup.com/primo-explore/search?tab=default_tab&amp;search_scope=EVERYTHING&amp;vid=01CRU&amp;lang=en_US&amp;offset=0&amp;query=any,contains,991003334769702656","Catalog Record")</f>
        <v/>
      </c>
      <c r="AT1272">
        <f>HYPERLINK("http://www.worldcat.org/oclc/40473736","WorldCat Record")</f>
        <v/>
      </c>
      <c r="AU1272" t="inlineStr">
        <is>
          <t>4095618769:eng</t>
        </is>
      </c>
      <c r="AV1272" t="inlineStr">
        <is>
          <t>40473736</t>
        </is>
      </c>
      <c r="AW1272" t="inlineStr">
        <is>
          <t>991003334769702656</t>
        </is>
      </c>
      <c r="AX1272" t="inlineStr">
        <is>
          <t>991003334769702656</t>
        </is>
      </c>
      <c r="AY1272" t="inlineStr">
        <is>
          <t>2264271320002656</t>
        </is>
      </c>
      <c r="AZ1272" t="inlineStr">
        <is>
          <t>BOOK</t>
        </is>
      </c>
      <c r="BB1272" t="inlineStr">
        <is>
          <t>9780471979241</t>
        </is>
      </c>
      <c r="BC1272" t="inlineStr">
        <is>
          <t>32285004934419</t>
        </is>
      </c>
      <c r="BD1272" t="inlineStr">
        <is>
          <t>893252274</t>
        </is>
      </c>
    </row>
    <row r="1273">
      <c r="A1273" t="inlineStr">
        <is>
          <t>No</t>
        </is>
      </c>
      <c r="B1273" t="inlineStr">
        <is>
          <t>QD77 .H37 1999</t>
        </is>
      </c>
      <c r="C1273" t="inlineStr">
        <is>
          <t>0                      QD 0077000H  37          1999</t>
        </is>
      </c>
      <c r="D1273" t="inlineStr">
        <is>
          <t>Handbook of reagents for organic synthesis.</t>
        </is>
      </c>
      <c r="E1273" t="inlineStr">
        <is>
          <t>V. 6</t>
        </is>
      </c>
      <c r="F1273" t="inlineStr">
        <is>
          <t>Yes</t>
        </is>
      </c>
      <c r="G1273" t="inlineStr">
        <is>
          <t>1</t>
        </is>
      </c>
      <c r="H1273" t="inlineStr">
        <is>
          <t>No</t>
        </is>
      </c>
      <c r="I1273" t="inlineStr">
        <is>
          <t>No</t>
        </is>
      </c>
      <c r="J1273" t="inlineStr">
        <is>
          <t>0</t>
        </is>
      </c>
      <c r="L1273" t="inlineStr">
        <is>
          <t>Chichester ; New York : Wiley, 1999.</t>
        </is>
      </c>
      <c r="M1273" t="inlineStr">
        <is>
          <t>1999</t>
        </is>
      </c>
      <c r="O1273" t="inlineStr">
        <is>
          <t>eng</t>
        </is>
      </c>
      <c r="P1273" t="inlineStr">
        <is>
          <t>enk</t>
        </is>
      </c>
      <c r="R1273" t="inlineStr">
        <is>
          <t xml:space="preserve">QD </t>
        </is>
      </c>
      <c r="S1273" t="n">
        <v>0</v>
      </c>
      <c r="T1273" t="n">
        <v>8</v>
      </c>
      <c r="V1273" t="inlineStr">
        <is>
          <t>2005-05-04</t>
        </is>
      </c>
      <c r="W1273" t="inlineStr">
        <is>
          <t>2006-02-13</t>
        </is>
      </c>
      <c r="X1273" t="inlineStr">
        <is>
          <t>2006-02-13</t>
        </is>
      </c>
      <c r="Y1273" t="n">
        <v>583</v>
      </c>
      <c r="Z1273" t="n">
        <v>465</v>
      </c>
      <c r="AA1273" t="n">
        <v>482</v>
      </c>
      <c r="AB1273" t="n">
        <v>5</v>
      </c>
      <c r="AC1273" t="n">
        <v>5</v>
      </c>
      <c r="AD1273" t="n">
        <v>34</v>
      </c>
      <c r="AE1273" t="n">
        <v>34</v>
      </c>
      <c r="AF1273" t="n">
        <v>12</v>
      </c>
      <c r="AG1273" t="n">
        <v>12</v>
      </c>
      <c r="AH1273" t="n">
        <v>8</v>
      </c>
      <c r="AI1273" t="n">
        <v>8</v>
      </c>
      <c r="AJ1273" t="n">
        <v>19</v>
      </c>
      <c r="AK1273" t="n">
        <v>19</v>
      </c>
      <c r="AL1273" t="n">
        <v>4</v>
      </c>
      <c r="AM1273" t="n">
        <v>4</v>
      </c>
      <c r="AN1273" t="n">
        <v>0</v>
      </c>
      <c r="AO1273" t="n">
        <v>0</v>
      </c>
      <c r="AP1273" t="inlineStr">
        <is>
          <t>No</t>
        </is>
      </c>
      <c r="AQ1273" t="inlineStr">
        <is>
          <t>Yes</t>
        </is>
      </c>
      <c r="AR1273">
        <f>HYPERLINK("http://catalog.hathitrust.org/Record/004046005","HathiTrust Record")</f>
        <v/>
      </c>
      <c r="AS1273">
        <f>HYPERLINK("https://creighton-primo.hosted.exlibrisgroup.com/primo-explore/search?tab=default_tab&amp;search_scope=EVERYTHING&amp;vid=01CRU&amp;lang=en_US&amp;offset=0&amp;query=any,contains,991003334769702656","Catalog Record")</f>
        <v/>
      </c>
      <c r="AT1273">
        <f>HYPERLINK("http://www.worldcat.org/oclc/40473736","WorldCat Record")</f>
        <v/>
      </c>
      <c r="AU1273" t="inlineStr">
        <is>
          <t>4095618769:eng</t>
        </is>
      </c>
      <c r="AV1273" t="inlineStr">
        <is>
          <t>40473736</t>
        </is>
      </c>
      <c r="AW1273" t="inlineStr">
        <is>
          <t>991003334769702656</t>
        </is>
      </c>
      <c r="AX1273" t="inlineStr">
        <is>
          <t>991003334769702656</t>
        </is>
      </c>
      <c r="AY1273" t="inlineStr">
        <is>
          <t>2264271320002656</t>
        </is>
      </c>
      <c r="AZ1273" t="inlineStr">
        <is>
          <t>BOOK</t>
        </is>
      </c>
      <c r="BB1273" t="inlineStr">
        <is>
          <t>9780471979241</t>
        </is>
      </c>
      <c r="BC1273" t="inlineStr">
        <is>
          <t>32285004937958</t>
        </is>
      </c>
      <c r="BD1273" t="inlineStr">
        <is>
          <t>893240108</t>
        </is>
      </c>
    </row>
    <row r="1274">
      <c r="A1274" t="inlineStr">
        <is>
          <t>No</t>
        </is>
      </c>
      <c r="B1274" t="inlineStr">
        <is>
          <t>QD77 .H37 1999</t>
        </is>
      </c>
      <c r="C1274" t="inlineStr">
        <is>
          <t>0                      QD 0077000H  37          1999</t>
        </is>
      </c>
      <c r="D1274" t="inlineStr">
        <is>
          <t>Handbook of reagents for organic synthesis.</t>
        </is>
      </c>
      <c r="E1274" t="inlineStr">
        <is>
          <t>V. 3</t>
        </is>
      </c>
      <c r="F1274" t="inlineStr">
        <is>
          <t>Yes</t>
        </is>
      </c>
      <c r="G1274" t="inlineStr">
        <is>
          <t>1</t>
        </is>
      </c>
      <c r="H1274" t="inlineStr">
        <is>
          <t>No</t>
        </is>
      </c>
      <c r="I1274" t="inlineStr">
        <is>
          <t>No</t>
        </is>
      </c>
      <c r="J1274" t="inlineStr">
        <is>
          <t>0</t>
        </is>
      </c>
      <c r="L1274" t="inlineStr">
        <is>
          <t>Chichester ; New York : Wiley, 1999.</t>
        </is>
      </c>
      <c r="M1274" t="inlineStr">
        <is>
          <t>1999</t>
        </is>
      </c>
      <c r="O1274" t="inlineStr">
        <is>
          <t>eng</t>
        </is>
      </c>
      <c r="P1274" t="inlineStr">
        <is>
          <t>enk</t>
        </is>
      </c>
      <c r="R1274" t="inlineStr">
        <is>
          <t xml:space="preserve">QD </t>
        </is>
      </c>
      <c r="S1274" t="n">
        <v>2</v>
      </c>
      <c r="T1274" t="n">
        <v>8</v>
      </c>
      <c r="U1274" t="inlineStr">
        <is>
          <t>2005-05-04</t>
        </is>
      </c>
      <c r="V1274" t="inlineStr">
        <is>
          <t>2005-05-04</t>
        </is>
      </c>
      <c r="W1274" t="inlineStr">
        <is>
          <t>2001-01-10</t>
        </is>
      </c>
      <c r="X1274" t="inlineStr">
        <is>
          <t>2006-02-13</t>
        </is>
      </c>
      <c r="Y1274" t="n">
        <v>583</v>
      </c>
      <c r="Z1274" t="n">
        <v>465</v>
      </c>
      <c r="AA1274" t="n">
        <v>482</v>
      </c>
      <c r="AB1274" t="n">
        <v>5</v>
      </c>
      <c r="AC1274" t="n">
        <v>5</v>
      </c>
      <c r="AD1274" t="n">
        <v>34</v>
      </c>
      <c r="AE1274" t="n">
        <v>34</v>
      </c>
      <c r="AF1274" t="n">
        <v>12</v>
      </c>
      <c r="AG1274" t="n">
        <v>12</v>
      </c>
      <c r="AH1274" t="n">
        <v>8</v>
      </c>
      <c r="AI1274" t="n">
        <v>8</v>
      </c>
      <c r="AJ1274" t="n">
        <v>19</v>
      </c>
      <c r="AK1274" t="n">
        <v>19</v>
      </c>
      <c r="AL1274" t="n">
        <v>4</v>
      </c>
      <c r="AM1274" t="n">
        <v>4</v>
      </c>
      <c r="AN1274" t="n">
        <v>0</v>
      </c>
      <c r="AO1274" t="n">
        <v>0</v>
      </c>
      <c r="AP1274" t="inlineStr">
        <is>
          <t>No</t>
        </is>
      </c>
      <c r="AQ1274" t="inlineStr">
        <is>
          <t>Yes</t>
        </is>
      </c>
      <c r="AR1274">
        <f>HYPERLINK("http://catalog.hathitrust.org/Record/004046005","HathiTrust Record")</f>
        <v/>
      </c>
      <c r="AS1274">
        <f>HYPERLINK("https://creighton-primo.hosted.exlibrisgroup.com/primo-explore/search?tab=default_tab&amp;search_scope=EVERYTHING&amp;vid=01CRU&amp;lang=en_US&amp;offset=0&amp;query=any,contains,991003334769702656","Catalog Record")</f>
        <v/>
      </c>
      <c r="AT1274">
        <f>HYPERLINK("http://www.worldcat.org/oclc/40473736","WorldCat Record")</f>
        <v/>
      </c>
      <c r="AU1274" t="inlineStr">
        <is>
          <t>4095618769:eng</t>
        </is>
      </c>
      <c r="AV1274" t="inlineStr">
        <is>
          <t>40473736</t>
        </is>
      </c>
      <c r="AW1274" t="inlineStr">
        <is>
          <t>991003334769702656</t>
        </is>
      </c>
      <c r="AX1274" t="inlineStr">
        <is>
          <t>991003334769702656</t>
        </is>
      </c>
      <c r="AY1274" t="inlineStr">
        <is>
          <t>2264271320002656</t>
        </is>
      </c>
      <c r="AZ1274" t="inlineStr">
        <is>
          <t>BOOK</t>
        </is>
      </c>
      <c r="BB1274" t="inlineStr">
        <is>
          <t>9780471979241</t>
        </is>
      </c>
      <c r="BC1274" t="inlineStr">
        <is>
          <t>32285004282363</t>
        </is>
      </c>
      <c r="BD1274" t="inlineStr">
        <is>
          <t>893240107</t>
        </is>
      </c>
    </row>
    <row r="1275">
      <c r="A1275" t="inlineStr">
        <is>
          <t>No</t>
        </is>
      </c>
      <c r="B1275" t="inlineStr">
        <is>
          <t>QD77 .H37 1999</t>
        </is>
      </c>
      <c r="C1275" t="inlineStr">
        <is>
          <t>0                      QD 0077000H  37          1999</t>
        </is>
      </c>
      <c r="D1275" t="inlineStr">
        <is>
          <t>Handbook of reagents for organic synthesis.</t>
        </is>
      </c>
      <c r="E1275" t="inlineStr">
        <is>
          <t>V. 4</t>
        </is>
      </c>
      <c r="F1275" t="inlineStr">
        <is>
          <t>Yes</t>
        </is>
      </c>
      <c r="G1275" t="inlineStr">
        <is>
          <t>1</t>
        </is>
      </c>
      <c r="H1275" t="inlineStr">
        <is>
          <t>No</t>
        </is>
      </c>
      <c r="I1275" t="inlineStr">
        <is>
          <t>No</t>
        </is>
      </c>
      <c r="J1275" t="inlineStr">
        <is>
          <t>0</t>
        </is>
      </c>
      <c r="L1275" t="inlineStr">
        <is>
          <t>Chichester ; New York : Wiley, 1999.</t>
        </is>
      </c>
      <c r="M1275" t="inlineStr">
        <is>
          <t>1999</t>
        </is>
      </c>
      <c r="O1275" t="inlineStr">
        <is>
          <t>eng</t>
        </is>
      </c>
      <c r="P1275" t="inlineStr">
        <is>
          <t>enk</t>
        </is>
      </c>
      <c r="R1275" t="inlineStr">
        <is>
          <t xml:space="preserve">QD </t>
        </is>
      </c>
      <c r="S1275" t="n">
        <v>2</v>
      </c>
      <c r="T1275" t="n">
        <v>8</v>
      </c>
      <c r="U1275" t="inlineStr">
        <is>
          <t>2005-05-04</t>
        </is>
      </c>
      <c r="V1275" t="inlineStr">
        <is>
          <t>2005-05-04</t>
        </is>
      </c>
      <c r="W1275" t="inlineStr">
        <is>
          <t>2001-01-10</t>
        </is>
      </c>
      <c r="X1275" t="inlineStr">
        <is>
          <t>2006-02-13</t>
        </is>
      </c>
      <c r="Y1275" t="n">
        <v>583</v>
      </c>
      <c r="Z1275" t="n">
        <v>465</v>
      </c>
      <c r="AA1275" t="n">
        <v>482</v>
      </c>
      <c r="AB1275" t="n">
        <v>5</v>
      </c>
      <c r="AC1275" t="n">
        <v>5</v>
      </c>
      <c r="AD1275" t="n">
        <v>34</v>
      </c>
      <c r="AE1275" t="n">
        <v>34</v>
      </c>
      <c r="AF1275" t="n">
        <v>12</v>
      </c>
      <c r="AG1275" t="n">
        <v>12</v>
      </c>
      <c r="AH1275" t="n">
        <v>8</v>
      </c>
      <c r="AI1275" t="n">
        <v>8</v>
      </c>
      <c r="AJ1275" t="n">
        <v>19</v>
      </c>
      <c r="AK1275" t="n">
        <v>19</v>
      </c>
      <c r="AL1275" t="n">
        <v>4</v>
      </c>
      <c r="AM1275" t="n">
        <v>4</v>
      </c>
      <c r="AN1275" t="n">
        <v>0</v>
      </c>
      <c r="AO1275" t="n">
        <v>0</v>
      </c>
      <c r="AP1275" t="inlineStr">
        <is>
          <t>No</t>
        </is>
      </c>
      <c r="AQ1275" t="inlineStr">
        <is>
          <t>Yes</t>
        </is>
      </c>
      <c r="AR1275">
        <f>HYPERLINK("http://catalog.hathitrust.org/Record/004046005","HathiTrust Record")</f>
        <v/>
      </c>
      <c r="AS1275">
        <f>HYPERLINK("https://creighton-primo.hosted.exlibrisgroup.com/primo-explore/search?tab=default_tab&amp;search_scope=EVERYTHING&amp;vid=01CRU&amp;lang=en_US&amp;offset=0&amp;query=any,contains,991003334769702656","Catalog Record")</f>
        <v/>
      </c>
      <c r="AT1275">
        <f>HYPERLINK("http://www.worldcat.org/oclc/40473736","WorldCat Record")</f>
        <v/>
      </c>
      <c r="AU1275" t="inlineStr">
        <is>
          <t>4095618769:eng</t>
        </is>
      </c>
      <c r="AV1275" t="inlineStr">
        <is>
          <t>40473736</t>
        </is>
      </c>
      <c r="AW1275" t="inlineStr">
        <is>
          <t>991003334769702656</t>
        </is>
      </c>
      <c r="AX1275" t="inlineStr">
        <is>
          <t>991003334769702656</t>
        </is>
      </c>
      <c r="AY1275" t="inlineStr">
        <is>
          <t>2264271320002656</t>
        </is>
      </c>
      <c r="AZ1275" t="inlineStr">
        <is>
          <t>BOOK</t>
        </is>
      </c>
      <c r="BB1275" t="inlineStr">
        <is>
          <t>9780471979241</t>
        </is>
      </c>
      <c r="BC1275" t="inlineStr">
        <is>
          <t>32285004282371</t>
        </is>
      </c>
      <c r="BD1275" t="inlineStr">
        <is>
          <t>893252275</t>
        </is>
      </c>
    </row>
    <row r="1276">
      <c r="A1276" t="inlineStr">
        <is>
          <t>No</t>
        </is>
      </c>
      <c r="B1276" t="inlineStr">
        <is>
          <t>QD77 .H37 1999</t>
        </is>
      </c>
      <c r="C1276" t="inlineStr">
        <is>
          <t>0                      QD 0077000H  37          1999</t>
        </is>
      </c>
      <c r="D1276" t="inlineStr">
        <is>
          <t>Handbook of reagents for organic synthesis.</t>
        </is>
      </c>
      <c r="E1276" t="inlineStr">
        <is>
          <t>V. 2</t>
        </is>
      </c>
      <c r="F1276" t="inlineStr">
        <is>
          <t>Yes</t>
        </is>
      </c>
      <c r="G1276" t="inlineStr">
        <is>
          <t>1</t>
        </is>
      </c>
      <c r="H1276" t="inlineStr">
        <is>
          <t>No</t>
        </is>
      </c>
      <c r="I1276" t="inlineStr">
        <is>
          <t>No</t>
        </is>
      </c>
      <c r="J1276" t="inlineStr">
        <is>
          <t>0</t>
        </is>
      </c>
      <c r="L1276" t="inlineStr">
        <is>
          <t>Chichester ; New York : Wiley, 1999.</t>
        </is>
      </c>
      <c r="M1276" t="inlineStr">
        <is>
          <t>1999</t>
        </is>
      </c>
      <c r="O1276" t="inlineStr">
        <is>
          <t>eng</t>
        </is>
      </c>
      <c r="P1276" t="inlineStr">
        <is>
          <t>enk</t>
        </is>
      </c>
      <c r="R1276" t="inlineStr">
        <is>
          <t xml:space="preserve">QD </t>
        </is>
      </c>
      <c r="S1276" t="n">
        <v>2</v>
      </c>
      <c r="T1276" t="n">
        <v>8</v>
      </c>
      <c r="U1276" t="inlineStr">
        <is>
          <t>2005-05-04</t>
        </is>
      </c>
      <c r="V1276" t="inlineStr">
        <is>
          <t>2005-05-04</t>
        </is>
      </c>
      <c r="W1276" t="inlineStr">
        <is>
          <t>2001-01-10</t>
        </is>
      </c>
      <c r="X1276" t="inlineStr">
        <is>
          <t>2006-02-13</t>
        </is>
      </c>
      <c r="Y1276" t="n">
        <v>583</v>
      </c>
      <c r="Z1276" t="n">
        <v>465</v>
      </c>
      <c r="AA1276" t="n">
        <v>482</v>
      </c>
      <c r="AB1276" t="n">
        <v>5</v>
      </c>
      <c r="AC1276" t="n">
        <v>5</v>
      </c>
      <c r="AD1276" t="n">
        <v>34</v>
      </c>
      <c r="AE1276" t="n">
        <v>34</v>
      </c>
      <c r="AF1276" t="n">
        <v>12</v>
      </c>
      <c r="AG1276" t="n">
        <v>12</v>
      </c>
      <c r="AH1276" t="n">
        <v>8</v>
      </c>
      <c r="AI1276" t="n">
        <v>8</v>
      </c>
      <c r="AJ1276" t="n">
        <v>19</v>
      </c>
      <c r="AK1276" t="n">
        <v>19</v>
      </c>
      <c r="AL1276" t="n">
        <v>4</v>
      </c>
      <c r="AM1276" t="n">
        <v>4</v>
      </c>
      <c r="AN1276" t="n">
        <v>0</v>
      </c>
      <c r="AO1276" t="n">
        <v>0</v>
      </c>
      <c r="AP1276" t="inlineStr">
        <is>
          <t>No</t>
        </is>
      </c>
      <c r="AQ1276" t="inlineStr">
        <is>
          <t>Yes</t>
        </is>
      </c>
      <c r="AR1276">
        <f>HYPERLINK("http://catalog.hathitrust.org/Record/004046005","HathiTrust Record")</f>
        <v/>
      </c>
      <c r="AS1276">
        <f>HYPERLINK("https://creighton-primo.hosted.exlibrisgroup.com/primo-explore/search?tab=default_tab&amp;search_scope=EVERYTHING&amp;vid=01CRU&amp;lang=en_US&amp;offset=0&amp;query=any,contains,991003334769702656","Catalog Record")</f>
        <v/>
      </c>
      <c r="AT1276">
        <f>HYPERLINK("http://www.worldcat.org/oclc/40473736","WorldCat Record")</f>
        <v/>
      </c>
      <c r="AU1276" t="inlineStr">
        <is>
          <t>4095618769:eng</t>
        </is>
      </c>
      <c r="AV1276" t="inlineStr">
        <is>
          <t>40473736</t>
        </is>
      </c>
      <c r="AW1276" t="inlineStr">
        <is>
          <t>991003334769702656</t>
        </is>
      </c>
      <c r="AX1276" t="inlineStr">
        <is>
          <t>991003334769702656</t>
        </is>
      </c>
      <c r="AY1276" t="inlineStr">
        <is>
          <t>2264271320002656</t>
        </is>
      </c>
      <c r="AZ1276" t="inlineStr">
        <is>
          <t>BOOK</t>
        </is>
      </c>
      <c r="BB1276" t="inlineStr">
        <is>
          <t>9780471979241</t>
        </is>
      </c>
      <c r="BC1276" t="inlineStr">
        <is>
          <t>32285004282355</t>
        </is>
      </c>
      <c r="BD1276" t="inlineStr">
        <is>
          <t>893240110</t>
        </is>
      </c>
    </row>
    <row r="1277">
      <c r="A1277" t="inlineStr">
        <is>
          <t>No</t>
        </is>
      </c>
      <c r="B1277" t="inlineStr">
        <is>
          <t>QD77 .H37 1999</t>
        </is>
      </c>
      <c r="C1277" t="inlineStr">
        <is>
          <t>0                      QD 0077000H  37          1999</t>
        </is>
      </c>
      <c r="D1277" t="inlineStr">
        <is>
          <t>Handbook of reagents for organic synthesis.</t>
        </is>
      </c>
      <c r="E1277" t="inlineStr">
        <is>
          <t>V. 1</t>
        </is>
      </c>
      <c r="F1277" t="inlineStr">
        <is>
          <t>Yes</t>
        </is>
      </c>
      <c r="G1277" t="inlineStr">
        <is>
          <t>1</t>
        </is>
      </c>
      <c r="H1277" t="inlineStr">
        <is>
          <t>No</t>
        </is>
      </c>
      <c r="I1277" t="inlineStr">
        <is>
          <t>No</t>
        </is>
      </c>
      <c r="J1277" t="inlineStr">
        <is>
          <t>0</t>
        </is>
      </c>
      <c r="L1277" t="inlineStr">
        <is>
          <t>Chichester ; New York : Wiley, 1999.</t>
        </is>
      </c>
      <c r="M1277" t="inlineStr">
        <is>
          <t>1999</t>
        </is>
      </c>
      <c r="O1277" t="inlineStr">
        <is>
          <t>eng</t>
        </is>
      </c>
      <c r="P1277" t="inlineStr">
        <is>
          <t>enk</t>
        </is>
      </c>
      <c r="R1277" t="inlineStr">
        <is>
          <t xml:space="preserve">QD </t>
        </is>
      </c>
      <c r="S1277" t="n">
        <v>2</v>
      </c>
      <c r="T1277" t="n">
        <v>8</v>
      </c>
      <c r="U1277" t="inlineStr">
        <is>
          <t>2005-05-04</t>
        </is>
      </c>
      <c r="V1277" t="inlineStr">
        <is>
          <t>2005-05-04</t>
        </is>
      </c>
      <c r="W1277" t="inlineStr">
        <is>
          <t>2001-01-10</t>
        </is>
      </c>
      <c r="X1277" t="inlineStr">
        <is>
          <t>2006-02-13</t>
        </is>
      </c>
      <c r="Y1277" t="n">
        <v>583</v>
      </c>
      <c r="Z1277" t="n">
        <v>465</v>
      </c>
      <c r="AA1277" t="n">
        <v>482</v>
      </c>
      <c r="AB1277" t="n">
        <v>5</v>
      </c>
      <c r="AC1277" t="n">
        <v>5</v>
      </c>
      <c r="AD1277" t="n">
        <v>34</v>
      </c>
      <c r="AE1277" t="n">
        <v>34</v>
      </c>
      <c r="AF1277" t="n">
        <v>12</v>
      </c>
      <c r="AG1277" t="n">
        <v>12</v>
      </c>
      <c r="AH1277" t="n">
        <v>8</v>
      </c>
      <c r="AI1277" t="n">
        <v>8</v>
      </c>
      <c r="AJ1277" t="n">
        <v>19</v>
      </c>
      <c r="AK1277" t="n">
        <v>19</v>
      </c>
      <c r="AL1277" t="n">
        <v>4</v>
      </c>
      <c r="AM1277" t="n">
        <v>4</v>
      </c>
      <c r="AN1277" t="n">
        <v>0</v>
      </c>
      <c r="AO1277" t="n">
        <v>0</v>
      </c>
      <c r="AP1277" t="inlineStr">
        <is>
          <t>No</t>
        </is>
      </c>
      <c r="AQ1277" t="inlineStr">
        <is>
          <t>Yes</t>
        </is>
      </c>
      <c r="AR1277">
        <f>HYPERLINK("http://catalog.hathitrust.org/Record/004046005","HathiTrust Record")</f>
        <v/>
      </c>
      <c r="AS1277">
        <f>HYPERLINK("https://creighton-primo.hosted.exlibrisgroup.com/primo-explore/search?tab=default_tab&amp;search_scope=EVERYTHING&amp;vid=01CRU&amp;lang=en_US&amp;offset=0&amp;query=any,contains,991003334769702656","Catalog Record")</f>
        <v/>
      </c>
      <c r="AT1277">
        <f>HYPERLINK("http://www.worldcat.org/oclc/40473736","WorldCat Record")</f>
        <v/>
      </c>
      <c r="AU1277" t="inlineStr">
        <is>
          <t>4095618769:eng</t>
        </is>
      </c>
      <c r="AV1277" t="inlineStr">
        <is>
          <t>40473736</t>
        </is>
      </c>
      <c r="AW1277" t="inlineStr">
        <is>
          <t>991003334769702656</t>
        </is>
      </c>
      <c r="AX1277" t="inlineStr">
        <is>
          <t>991003334769702656</t>
        </is>
      </c>
      <c r="AY1277" t="inlineStr">
        <is>
          <t>2264271320002656</t>
        </is>
      </c>
      <c r="AZ1277" t="inlineStr">
        <is>
          <t>BOOK</t>
        </is>
      </c>
      <c r="BB1277" t="inlineStr">
        <is>
          <t>9780471979241</t>
        </is>
      </c>
      <c r="BC1277" t="inlineStr">
        <is>
          <t>32285004282348</t>
        </is>
      </c>
      <c r="BD1277" t="inlineStr">
        <is>
          <t>893252276</t>
        </is>
      </c>
    </row>
    <row r="1278">
      <c r="A1278" t="inlineStr">
        <is>
          <t>No</t>
        </is>
      </c>
      <c r="B1278" t="inlineStr">
        <is>
          <t>QD77 .H37 1999</t>
        </is>
      </c>
      <c r="C1278" t="inlineStr">
        <is>
          <t>0                      QD 0077000H  37          1999</t>
        </is>
      </c>
      <c r="D1278" t="inlineStr">
        <is>
          <t>Handbook of reagents for organic synthesis.</t>
        </is>
      </c>
      <c r="E1278" t="inlineStr">
        <is>
          <t>V. 7</t>
        </is>
      </c>
      <c r="F1278" t="inlineStr">
        <is>
          <t>Yes</t>
        </is>
      </c>
      <c r="G1278" t="inlineStr">
        <is>
          <t>1</t>
        </is>
      </c>
      <c r="H1278" t="inlineStr">
        <is>
          <t>No</t>
        </is>
      </c>
      <c r="I1278" t="inlineStr">
        <is>
          <t>No</t>
        </is>
      </c>
      <c r="J1278" t="inlineStr">
        <is>
          <t>0</t>
        </is>
      </c>
      <c r="L1278" t="inlineStr">
        <is>
          <t>Chichester ; New York : Wiley, 1999.</t>
        </is>
      </c>
      <c r="M1278" t="inlineStr">
        <is>
          <t>1999</t>
        </is>
      </c>
      <c r="O1278" t="inlineStr">
        <is>
          <t>eng</t>
        </is>
      </c>
      <c r="P1278" t="inlineStr">
        <is>
          <t>enk</t>
        </is>
      </c>
      <c r="R1278" t="inlineStr">
        <is>
          <t xml:space="preserve">QD </t>
        </is>
      </c>
      <c r="S1278" t="n">
        <v>0</v>
      </c>
      <c r="T1278" t="n">
        <v>8</v>
      </c>
      <c r="V1278" t="inlineStr">
        <is>
          <t>2005-05-04</t>
        </is>
      </c>
      <c r="W1278" t="inlineStr">
        <is>
          <t>2006-02-13</t>
        </is>
      </c>
      <c r="X1278" t="inlineStr">
        <is>
          <t>2006-02-13</t>
        </is>
      </c>
      <c r="Y1278" t="n">
        <v>583</v>
      </c>
      <c r="Z1278" t="n">
        <v>465</v>
      </c>
      <c r="AA1278" t="n">
        <v>482</v>
      </c>
      <c r="AB1278" t="n">
        <v>5</v>
      </c>
      <c r="AC1278" t="n">
        <v>5</v>
      </c>
      <c r="AD1278" t="n">
        <v>34</v>
      </c>
      <c r="AE1278" t="n">
        <v>34</v>
      </c>
      <c r="AF1278" t="n">
        <v>12</v>
      </c>
      <c r="AG1278" t="n">
        <v>12</v>
      </c>
      <c r="AH1278" t="n">
        <v>8</v>
      </c>
      <c r="AI1278" t="n">
        <v>8</v>
      </c>
      <c r="AJ1278" t="n">
        <v>19</v>
      </c>
      <c r="AK1278" t="n">
        <v>19</v>
      </c>
      <c r="AL1278" t="n">
        <v>4</v>
      </c>
      <c r="AM1278" t="n">
        <v>4</v>
      </c>
      <c r="AN1278" t="n">
        <v>0</v>
      </c>
      <c r="AO1278" t="n">
        <v>0</v>
      </c>
      <c r="AP1278" t="inlineStr">
        <is>
          <t>No</t>
        </is>
      </c>
      <c r="AQ1278" t="inlineStr">
        <is>
          <t>Yes</t>
        </is>
      </c>
      <c r="AR1278">
        <f>HYPERLINK("http://catalog.hathitrust.org/Record/004046005","HathiTrust Record")</f>
        <v/>
      </c>
      <c r="AS1278">
        <f>HYPERLINK("https://creighton-primo.hosted.exlibrisgroup.com/primo-explore/search?tab=default_tab&amp;search_scope=EVERYTHING&amp;vid=01CRU&amp;lang=en_US&amp;offset=0&amp;query=any,contains,991003334769702656","Catalog Record")</f>
        <v/>
      </c>
      <c r="AT1278">
        <f>HYPERLINK("http://www.worldcat.org/oclc/40473736","WorldCat Record")</f>
        <v/>
      </c>
      <c r="AU1278" t="inlineStr">
        <is>
          <t>4095618769:eng</t>
        </is>
      </c>
      <c r="AV1278" t="inlineStr">
        <is>
          <t>40473736</t>
        </is>
      </c>
      <c r="AW1278" t="inlineStr">
        <is>
          <t>991003334769702656</t>
        </is>
      </c>
      <c r="AX1278" t="inlineStr">
        <is>
          <t>991003334769702656</t>
        </is>
      </c>
      <c r="AY1278" t="inlineStr">
        <is>
          <t>2264271320002656</t>
        </is>
      </c>
      <c r="AZ1278" t="inlineStr">
        <is>
          <t>BOOK</t>
        </is>
      </c>
      <c r="BB1278" t="inlineStr">
        <is>
          <t>9780471979241</t>
        </is>
      </c>
      <c r="BC1278" t="inlineStr">
        <is>
          <t>32285004937941</t>
        </is>
      </c>
      <c r="BD1278" t="inlineStr">
        <is>
          <t>893240109</t>
        </is>
      </c>
    </row>
    <row r="1279">
      <c r="A1279" t="inlineStr">
        <is>
          <t>No</t>
        </is>
      </c>
      <c r="B1279" t="inlineStr">
        <is>
          <t>QD77 .K7</t>
        </is>
      </c>
      <c r="C1279" t="inlineStr">
        <is>
          <t>0                      QD 0077000K  7</t>
        </is>
      </c>
      <c r="D1279" t="inlineStr">
        <is>
          <t>Indicators; their use in quantitative analysis and in the colorimetric determination of hydrogen-ion concentration, by Dr. I.M. Kolthoff ... An authorized translation based upon the second German ed., rev. and enl. by N. Howell Furman ...</t>
        </is>
      </c>
      <c r="F1279" t="inlineStr">
        <is>
          <t>No</t>
        </is>
      </c>
      <c r="G1279" t="inlineStr">
        <is>
          <t>1</t>
        </is>
      </c>
      <c r="H1279" t="inlineStr">
        <is>
          <t>No</t>
        </is>
      </c>
      <c r="I1279" t="inlineStr">
        <is>
          <t>No</t>
        </is>
      </c>
      <c r="J1279" t="inlineStr">
        <is>
          <t>0</t>
        </is>
      </c>
      <c r="K1279" t="inlineStr">
        <is>
          <t>Kolthoff, I. M. (Izaak Maurits), 1894-1993.</t>
        </is>
      </c>
      <c r="L1279" t="inlineStr">
        <is>
          <t>New York, J. Wiley &amp; sons, inc; [etc., etc.] 1926.</t>
        </is>
      </c>
      <c r="M1279" t="inlineStr">
        <is>
          <t>1926</t>
        </is>
      </c>
      <c r="O1279" t="inlineStr">
        <is>
          <t>eng</t>
        </is>
      </c>
      <c r="P1279" t="inlineStr">
        <is>
          <t>nyu</t>
        </is>
      </c>
      <c r="R1279" t="inlineStr">
        <is>
          <t xml:space="preserve">QD </t>
        </is>
      </c>
      <c r="S1279" t="n">
        <v>2</v>
      </c>
      <c r="T1279" t="n">
        <v>2</v>
      </c>
      <c r="U1279" t="inlineStr">
        <is>
          <t>1998-09-09</t>
        </is>
      </c>
      <c r="V1279" t="inlineStr">
        <is>
          <t>1998-09-09</t>
        </is>
      </c>
      <c r="W1279" t="inlineStr">
        <is>
          <t>1997-05-29</t>
        </is>
      </c>
      <c r="X1279" t="inlineStr">
        <is>
          <t>1997-05-29</t>
        </is>
      </c>
      <c r="Y1279" t="n">
        <v>206</v>
      </c>
      <c r="Z1279" t="n">
        <v>174</v>
      </c>
      <c r="AA1279" t="n">
        <v>342</v>
      </c>
      <c r="AB1279" t="n">
        <v>2</v>
      </c>
      <c r="AC1279" t="n">
        <v>3</v>
      </c>
      <c r="AD1279" t="n">
        <v>12</v>
      </c>
      <c r="AE1279" t="n">
        <v>18</v>
      </c>
      <c r="AF1279" t="n">
        <v>5</v>
      </c>
      <c r="AG1279" t="n">
        <v>7</v>
      </c>
      <c r="AH1279" t="n">
        <v>4</v>
      </c>
      <c r="AI1279" t="n">
        <v>6</v>
      </c>
      <c r="AJ1279" t="n">
        <v>4</v>
      </c>
      <c r="AK1279" t="n">
        <v>8</v>
      </c>
      <c r="AL1279" t="n">
        <v>1</v>
      </c>
      <c r="AM1279" t="n">
        <v>2</v>
      </c>
      <c r="AN1279" t="n">
        <v>0</v>
      </c>
      <c r="AO1279" t="n">
        <v>0</v>
      </c>
      <c r="AP1279" t="inlineStr">
        <is>
          <t>No</t>
        </is>
      </c>
      <c r="AQ1279" t="inlineStr">
        <is>
          <t>Yes</t>
        </is>
      </c>
      <c r="AR1279">
        <f>HYPERLINK("http://catalog.hathitrust.org/Record/001995137","HathiTrust Record")</f>
        <v/>
      </c>
      <c r="AS1279">
        <f>HYPERLINK("https://creighton-primo.hosted.exlibrisgroup.com/primo-explore/search?tab=default_tab&amp;search_scope=EVERYTHING&amp;vid=01CRU&amp;lang=en_US&amp;offset=0&amp;query=any,contains,991004081449702656","Catalog Record")</f>
        <v/>
      </c>
      <c r="AT1279">
        <f>HYPERLINK("http://www.worldcat.org/oclc/2330012","WorldCat Record")</f>
        <v/>
      </c>
      <c r="AU1279" t="inlineStr">
        <is>
          <t>4451768661:eng</t>
        </is>
      </c>
      <c r="AV1279" t="inlineStr">
        <is>
          <t>2330012</t>
        </is>
      </c>
      <c r="AW1279" t="inlineStr">
        <is>
          <t>991004081449702656</t>
        </is>
      </c>
      <c r="AX1279" t="inlineStr">
        <is>
          <t>991004081449702656</t>
        </is>
      </c>
      <c r="AY1279" t="inlineStr">
        <is>
          <t>2263685310002656</t>
        </is>
      </c>
      <c r="AZ1279" t="inlineStr">
        <is>
          <t>BOOK</t>
        </is>
      </c>
      <c r="BC1279" t="inlineStr">
        <is>
          <t>32285002778081</t>
        </is>
      </c>
      <c r="BD1279" t="inlineStr">
        <is>
          <t>893324905</t>
        </is>
      </c>
    </row>
    <row r="1280">
      <c r="A1280" t="inlineStr">
        <is>
          <t>No</t>
        </is>
      </c>
      <c r="B1280" t="inlineStr">
        <is>
          <t>QD77 .W36 2009</t>
        </is>
      </c>
      <c r="C1280" t="inlineStr">
        <is>
          <t>0                      QD 0077000W  36          2009</t>
        </is>
      </c>
      <c r="D1280" t="inlineStr">
        <is>
          <t>Comprehensive organic name reactions and reagents / Zerong Wang.</t>
        </is>
      </c>
      <c r="E1280" t="inlineStr">
        <is>
          <t>V. 3</t>
        </is>
      </c>
      <c r="F1280" t="inlineStr">
        <is>
          <t>Yes</t>
        </is>
      </c>
      <c r="G1280" t="inlineStr">
        <is>
          <t>1</t>
        </is>
      </c>
      <c r="H1280" t="inlineStr">
        <is>
          <t>No</t>
        </is>
      </c>
      <c r="I1280" t="inlineStr">
        <is>
          <t>No</t>
        </is>
      </c>
      <c r="J1280" t="inlineStr">
        <is>
          <t>0</t>
        </is>
      </c>
      <c r="K1280" t="inlineStr">
        <is>
          <t>Wang, Zerong (Daniel Zerong)</t>
        </is>
      </c>
      <c r="L1280" t="inlineStr">
        <is>
          <t>Hoboken, N.J. : John Wiley, c2009.</t>
        </is>
      </c>
      <c r="M1280" t="inlineStr">
        <is>
          <t>2009</t>
        </is>
      </c>
      <c r="O1280" t="inlineStr">
        <is>
          <t>eng</t>
        </is>
      </c>
      <c r="P1280" t="inlineStr">
        <is>
          <t>nju</t>
        </is>
      </c>
      <c r="R1280" t="inlineStr">
        <is>
          <t xml:space="preserve">QD </t>
        </is>
      </c>
      <c r="S1280" t="n">
        <v>1</v>
      </c>
      <c r="T1280" t="n">
        <v>3</v>
      </c>
      <c r="U1280" t="inlineStr">
        <is>
          <t>2010-04-12</t>
        </is>
      </c>
      <c r="V1280" t="inlineStr">
        <is>
          <t>2010-04-12</t>
        </is>
      </c>
      <c r="W1280" t="inlineStr">
        <is>
          <t>2010-04-12</t>
        </is>
      </c>
      <c r="X1280" t="inlineStr">
        <is>
          <t>2010-04-12</t>
        </is>
      </c>
      <c r="Y1280" t="n">
        <v>176</v>
      </c>
      <c r="Z1280" t="n">
        <v>120</v>
      </c>
      <c r="AA1280" t="n">
        <v>147</v>
      </c>
      <c r="AB1280" t="n">
        <v>3</v>
      </c>
      <c r="AC1280" t="n">
        <v>3</v>
      </c>
      <c r="AD1280" t="n">
        <v>9</v>
      </c>
      <c r="AE1280" t="n">
        <v>9</v>
      </c>
      <c r="AF1280" t="n">
        <v>3</v>
      </c>
      <c r="AG1280" t="n">
        <v>3</v>
      </c>
      <c r="AH1280" t="n">
        <v>2</v>
      </c>
      <c r="AI1280" t="n">
        <v>2</v>
      </c>
      <c r="AJ1280" t="n">
        <v>3</v>
      </c>
      <c r="AK1280" t="n">
        <v>3</v>
      </c>
      <c r="AL1280" t="n">
        <v>2</v>
      </c>
      <c r="AM1280" t="n">
        <v>2</v>
      </c>
      <c r="AN1280" t="n">
        <v>0</v>
      </c>
      <c r="AO1280" t="n">
        <v>0</v>
      </c>
      <c r="AP1280" t="inlineStr">
        <is>
          <t>No</t>
        </is>
      </c>
      <c r="AQ1280" t="inlineStr">
        <is>
          <t>No</t>
        </is>
      </c>
      <c r="AS1280">
        <f>HYPERLINK("https://creighton-primo.hosted.exlibrisgroup.com/primo-explore/search?tab=default_tab&amp;search_scope=EVERYTHING&amp;vid=01CRU&amp;lang=en_US&amp;offset=0&amp;query=any,contains,991005380539702656","Catalog Record")</f>
        <v/>
      </c>
      <c r="AT1280">
        <f>HYPERLINK("http://www.worldcat.org/oclc/176899198","WorldCat Record")</f>
        <v/>
      </c>
      <c r="AU1280" t="inlineStr">
        <is>
          <t>9621707001:eng</t>
        </is>
      </c>
      <c r="AV1280" t="inlineStr">
        <is>
          <t>176899198</t>
        </is>
      </c>
      <c r="AW1280" t="inlineStr">
        <is>
          <t>991005380539702656</t>
        </is>
      </c>
      <c r="AX1280" t="inlineStr">
        <is>
          <t>991005380539702656</t>
        </is>
      </c>
      <c r="AY1280" t="inlineStr">
        <is>
          <t>2261444560002656</t>
        </is>
      </c>
      <c r="AZ1280" t="inlineStr">
        <is>
          <t>BOOK</t>
        </is>
      </c>
      <c r="BB1280" t="inlineStr">
        <is>
          <t>9780471704508</t>
        </is>
      </c>
      <c r="BC1280" t="inlineStr">
        <is>
          <t>32285005563423</t>
        </is>
      </c>
      <c r="BD1280" t="inlineStr">
        <is>
          <t>893230614</t>
        </is>
      </c>
    </row>
    <row r="1281">
      <c r="A1281" t="inlineStr">
        <is>
          <t>No</t>
        </is>
      </c>
      <c r="B1281" t="inlineStr">
        <is>
          <t>QD77 .W36 2009</t>
        </is>
      </c>
      <c r="C1281" t="inlineStr">
        <is>
          <t>0                      QD 0077000W  36          2009</t>
        </is>
      </c>
      <c r="D1281" t="inlineStr">
        <is>
          <t>Comprehensive organic name reactions and reagents / Zerong Wang.</t>
        </is>
      </c>
      <c r="E1281" t="inlineStr">
        <is>
          <t>V. 2</t>
        </is>
      </c>
      <c r="F1281" t="inlineStr">
        <is>
          <t>Yes</t>
        </is>
      </c>
      <c r="G1281" t="inlineStr">
        <is>
          <t>1</t>
        </is>
      </c>
      <c r="H1281" t="inlineStr">
        <is>
          <t>No</t>
        </is>
      </c>
      <c r="I1281" t="inlineStr">
        <is>
          <t>No</t>
        </is>
      </c>
      <c r="J1281" t="inlineStr">
        <is>
          <t>0</t>
        </is>
      </c>
      <c r="K1281" t="inlineStr">
        <is>
          <t>Wang, Zerong (Daniel Zerong)</t>
        </is>
      </c>
      <c r="L1281" t="inlineStr">
        <is>
          <t>Hoboken, N.J. : John Wiley, c2009.</t>
        </is>
      </c>
      <c r="M1281" t="inlineStr">
        <is>
          <t>2009</t>
        </is>
      </c>
      <c r="O1281" t="inlineStr">
        <is>
          <t>eng</t>
        </is>
      </c>
      <c r="P1281" t="inlineStr">
        <is>
          <t>nju</t>
        </is>
      </c>
      <c r="R1281" t="inlineStr">
        <is>
          <t xml:space="preserve">QD </t>
        </is>
      </c>
      <c r="S1281" t="n">
        <v>1</v>
      </c>
      <c r="T1281" t="n">
        <v>3</v>
      </c>
      <c r="U1281" t="inlineStr">
        <is>
          <t>2010-04-12</t>
        </is>
      </c>
      <c r="V1281" t="inlineStr">
        <is>
          <t>2010-04-12</t>
        </is>
      </c>
      <c r="W1281" t="inlineStr">
        <is>
          <t>2010-04-12</t>
        </is>
      </c>
      <c r="X1281" t="inlineStr">
        <is>
          <t>2010-04-12</t>
        </is>
      </c>
      <c r="Y1281" t="n">
        <v>176</v>
      </c>
      <c r="Z1281" t="n">
        <v>120</v>
      </c>
      <c r="AA1281" t="n">
        <v>147</v>
      </c>
      <c r="AB1281" t="n">
        <v>3</v>
      </c>
      <c r="AC1281" t="n">
        <v>3</v>
      </c>
      <c r="AD1281" t="n">
        <v>9</v>
      </c>
      <c r="AE1281" t="n">
        <v>9</v>
      </c>
      <c r="AF1281" t="n">
        <v>3</v>
      </c>
      <c r="AG1281" t="n">
        <v>3</v>
      </c>
      <c r="AH1281" t="n">
        <v>2</v>
      </c>
      <c r="AI1281" t="n">
        <v>2</v>
      </c>
      <c r="AJ1281" t="n">
        <v>3</v>
      </c>
      <c r="AK1281" t="n">
        <v>3</v>
      </c>
      <c r="AL1281" t="n">
        <v>2</v>
      </c>
      <c r="AM1281" t="n">
        <v>2</v>
      </c>
      <c r="AN1281" t="n">
        <v>0</v>
      </c>
      <c r="AO1281" t="n">
        <v>0</v>
      </c>
      <c r="AP1281" t="inlineStr">
        <is>
          <t>No</t>
        </is>
      </c>
      <c r="AQ1281" t="inlineStr">
        <is>
          <t>No</t>
        </is>
      </c>
      <c r="AS1281">
        <f>HYPERLINK("https://creighton-primo.hosted.exlibrisgroup.com/primo-explore/search?tab=default_tab&amp;search_scope=EVERYTHING&amp;vid=01CRU&amp;lang=en_US&amp;offset=0&amp;query=any,contains,991005380539702656","Catalog Record")</f>
        <v/>
      </c>
      <c r="AT1281">
        <f>HYPERLINK("http://www.worldcat.org/oclc/176899198","WorldCat Record")</f>
        <v/>
      </c>
      <c r="AU1281" t="inlineStr">
        <is>
          <t>9621707001:eng</t>
        </is>
      </c>
      <c r="AV1281" t="inlineStr">
        <is>
          <t>176899198</t>
        </is>
      </c>
      <c r="AW1281" t="inlineStr">
        <is>
          <t>991005380539702656</t>
        </is>
      </c>
      <c r="AX1281" t="inlineStr">
        <is>
          <t>991005380539702656</t>
        </is>
      </c>
      <c r="AY1281" t="inlineStr">
        <is>
          <t>2261444560002656</t>
        </is>
      </c>
      <c r="AZ1281" t="inlineStr">
        <is>
          <t>BOOK</t>
        </is>
      </c>
      <c r="BB1281" t="inlineStr">
        <is>
          <t>9780471704508</t>
        </is>
      </c>
      <c r="BC1281" t="inlineStr">
        <is>
          <t>32285005563415</t>
        </is>
      </c>
      <c r="BD1281" t="inlineStr">
        <is>
          <t>893230615</t>
        </is>
      </c>
    </row>
    <row r="1282">
      <c r="A1282" t="inlineStr">
        <is>
          <t>No</t>
        </is>
      </c>
      <c r="B1282" t="inlineStr">
        <is>
          <t>QD77 .W36 2009</t>
        </is>
      </c>
      <c r="C1282" t="inlineStr">
        <is>
          <t>0                      QD 0077000W  36          2009</t>
        </is>
      </c>
      <c r="D1282" t="inlineStr">
        <is>
          <t>Comprehensive organic name reactions and reagents / Zerong Wang.</t>
        </is>
      </c>
      <c r="E1282" t="inlineStr">
        <is>
          <t>V. 1</t>
        </is>
      </c>
      <c r="F1282" t="inlineStr">
        <is>
          <t>Yes</t>
        </is>
      </c>
      <c r="G1282" t="inlineStr">
        <is>
          <t>1</t>
        </is>
      </c>
      <c r="H1282" t="inlineStr">
        <is>
          <t>No</t>
        </is>
      </c>
      <c r="I1282" t="inlineStr">
        <is>
          <t>No</t>
        </is>
      </c>
      <c r="J1282" t="inlineStr">
        <is>
          <t>0</t>
        </is>
      </c>
      <c r="K1282" t="inlineStr">
        <is>
          <t>Wang, Zerong (Daniel Zerong)</t>
        </is>
      </c>
      <c r="L1282" t="inlineStr">
        <is>
          <t>Hoboken, N.J. : John Wiley, c2009.</t>
        </is>
      </c>
      <c r="M1282" t="inlineStr">
        <is>
          <t>2009</t>
        </is>
      </c>
      <c r="O1282" t="inlineStr">
        <is>
          <t>eng</t>
        </is>
      </c>
      <c r="P1282" t="inlineStr">
        <is>
          <t>nju</t>
        </is>
      </c>
      <c r="R1282" t="inlineStr">
        <is>
          <t xml:space="preserve">QD </t>
        </is>
      </c>
      <c r="S1282" t="n">
        <v>1</v>
      </c>
      <c r="T1282" t="n">
        <v>3</v>
      </c>
      <c r="U1282" t="inlineStr">
        <is>
          <t>2010-04-12</t>
        </is>
      </c>
      <c r="V1282" t="inlineStr">
        <is>
          <t>2010-04-12</t>
        </is>
      </c>
      <c r="W1282" t="inlineStr">
        <is>
          <t>2010-04-12</t>
        </is>
      </c>
      <c r="X1282" t="inlineStr">
        <is>
          <t>2010-04-12</t>
        </is>
      </c>
      <c r="Y1282" t="n">
        <v>176</v>
      </c>
      <c r="Z1282" t="n">
        <v>120</v>
      </c>
      <c r="AA1282" t="n">
        <v>147</v>
      </c>
      <c r="AB1282" t="n">
        <v>3</v>
      </c>
      <c r="AC1282" t="n">
        <v>3</v>
      </c>
      <c r="AD1282" t="n">
        <v>9</v>
      </c>
      <c r="AE1282" t="n">
        <v>9</v>
      </c>
      <c r="AF1282" t="n">
        <v>3</v>
      </c>
      <c r="AG1282" t="n">
        <v>3</v>
      </c>
      <c r="AH1282" t="n">
        <v>2</v>
      </c>
      <c r="AI1282" t="n">
        <v>2</v>
      </c>
      <c r="AJ1282" t="n">
        <v>3</v>
      </c>
      <c r="AK1282" t="n">
        <v>3</v>
      </c>
      <c r="AL1282" t="n">
        <v>2</v>
      </c>
      <c r="AM1282" t="n">
        <v>2</v>
      </c>
      <c r="AN1282" t="n">
        <v>0</v>
      </c>
      <c r="AO1282" t="n">
        <v>0</v>
      </c>
      <c r="AP1282" t="inlineStr">
        <is>
          <t>No</t>
        </is>
      </c>
      <c r="AQ1282" t="inlineStr">
        <is>
          <t>No</t>
        </is>
      </c>
      <c r="AS1282">
        <f>HYPERLINK("https://creighton-primo.hosted.exlibrisgroup.com/primo-explore/search?tab=default_tab&amp;search_scope=EVERYTHING&amp;vid=01CRU&amp;lang=en_US&amp;offset=0&amp;query=any,contains,991005380539702656","Catalog Record")</f>
        <v/>
      </c>
      <c r="AT1282">
        <f>HYPERLINK("http://www.worldcat.org/oclc/176899198","WorldCat Record")</f>
        <v/>
      </c>
      <c r="AU1282" t="inlineStr">
        <is>
          <t>9621707001:eng</t>
        </is>
      </c>
      <c r="AV1282" t="inlineStr">
        <is>
          <t>176899198</t>
        </is>
      </c>
      <c r="AW1282" t="inlineStr">
        <is>
          <t>991005380539702656</t>
        </is>
      </c>
      <c r="AX1282" t="inlineStr">
        <is>
          <t>991005380539702656</t>
        </is>
      </c>
      <c r="AY1282" t="inlineStr">
        <is>
          <t>2261444560002656</t>
        </is>
      </c>
      <c r="AZ1282" t="inlineStr">
        <is>
          <t>BOOK</t>
        </is>
      </c>
      <c r="BB1282" t="inlineStr">
        <is>
          <t>9780471704508</t>
        </is>
      </c>
      <c r="BC1282" t="inlineStr">
        <is>
          <t>32285005563407</t>
        </is>
      </c>
      <c r="BD1282" t="inlineStr">
        <is>
          <t>893261063</t>
        </is>
      </c>
    </row>
    <row r="1283">
      <c r="A1283" t="inlineStr">
        <is>
          <t>No</t>
        </is>
      </c>
      <c r="B1283" t="inlineStr">
        <is>
          <t>QD79 .C4 C485 1992 PT. B</t>
        </is>
      </c>
      <c r="C1283" t="inlineStr">
        <is>
          <t>0                      QD 0079000C  4                  C  485         1992                  PT. B</t>
        </is>
      </c>
      <c r="D1283" t="inlineStr">
        <is>
          <t>Chromatography : fundamentals and applications of chromatography and related differential migration methods / edited by E. Heftmann.</t>
        </is>
      </c>
      <c r="E1283" t="inlineStr">
        <is>
          <t>PT. B*</t>
        </is>
      </c>
      <c r="F1283" t="inlineStr">
        <is>
          <t>Yes</t>
        </is>
      </c>
      <c r="G1283" t="inlineStr">
        <is>
          <t>1</t>
        </is>
      </c>
      <c r="H1283" t="inlineStr">
        <is>
          <t>No</t>
        </is>
      </c>
      <c r="I1283" t="inlineStr">
        <is>
          <t>No</t>
        </is>
      </c>
      <c r="J1283" t="inlineStr">
        <is>
          <t>0</t>
        </is>
      </c>
      <c r="L1283" t="inlineStr">
        <is>
          <t>Amsterdam ; New York : Elsevier, 1992.</t>
        </is>
      </c>
      <c r="M1283" t="inlineStr">
        <is>
          <t>1992</t>
        </is>
      </c>
      <c r="N1283" t="inlineStr">
        <is>
          <t>5th ed.</t>
        </is>
      </c>
      <c r="O1283" t="inlineStr">
        <is>
          <t>eng</t>
        </is>
      </c>
      <c r="P1283" t="inlineStr">
        <is>
          <t xml:space="preserve">ne </t>
        </is>
      </c>
      <c r="Q1283" t="inlineStr">
        <is>
          <t>Journal of chromatography library ; v. 51A-B</t>
        </is>
      </c>
      <c r="R1283" t="inlineStr">
        <is>
          <t xml:space="preserve">QD </t>
        </is>
      </c>
      <c r="S1283" t="n">
        <v>11</v>
      </c>
      <c r="T1283" t="n">
        <v>27</v>
      </c>
      <c r="U1283" t="inlineStr">
        <is>
          <t>2006-10-27</t>
        </is>
      </c>
      <c r="V1283" t="inlineStr">
        <is>
          <t>2006-10-27</t>
        </is>
      </c>
      <c r="W1283" t="inlineStr">
        <is>
          <t>1992-09-01</t>
        </is>
      </c>
      <c r="X1283" t="inlineStr">
        <is>
          <t>1992-09-01</t>
        </is>
      </c>
      <c r="Y1283" t="n">
        <v>175</v>
      </c>
      <c r="Z1283" t="n">
        <v>114</v>
      </c>
      <c r="AA1283" t="n">
        <v>278</v>
      </c>
      <c r="AB1283" t="n">
        <v>1</v>
      </c>
      <c r="AC1283" t="n">
        <v>2</v>
      </c>
      <c r="AD1283" t="n">
        <v>7</v>
      </c>
      <c r="AE1283" t="n">
        <v>12</v>
      </c>
      <c r="AF1283" t="n">
        <v>3</v>
      </c>
      <c r="AG1283" t="n">
        <v>4</v>
      </c>
      <c r="AH1283" t="n">
        <v>3</v>
      </c>
      <c r="AI1283" t="n">
        <v>5</v>
      </c>
      <c r="AJ1283" t="n">
        <v>4</v>
      </c>
      <c r="AK1283" t="n">
        <v>7</v>
      </c>
      <c r="AL1283" t="n">
        <v>0</v>
      </c>
      <c r="AM1283" t="n">
        <v>1</v>
      </c>
      <c r="AN1283" t="n">
        <v>0</v>
      </c>
      <c r="AO1283" t="n">
        <v>0</v>
      </c>
      <c r="AP1283" t="inlineStr">
        <is>
          <t>No</t>
        </is>
      </c>
      <c r="AQ1283" t="inlineStr">
        <is>
          <t>Yes</t>
        </is>
      </c>
      <c r="AR1283">
        <f>HYPERLINK("http://catalog.hathitrust.org/Record/002546852","HathiTrust Record")</f>
        <v/>
      </c>
      <c r="AS1283">
        <f>HYPERLINK("https://creighton-primo.hosted.exlibrisgroup.com/primo-explore/search?tab=default_tab&amp;search_scope=EVERYTHING&amp;vid=01CRU&amp;lang=en_US&amp;offset=0&amp;query=any,contains,991001938709702656","Catalog Record")</f>
        <v/>
      </c>
      <c r="AT1283">
        <f>HYPERLINK("http://www.worldcat.org/oclc/24501616","WorldCat Record")</f>
        <v/>
      </c>
      <c r="AU1283" t="inlineStr">
        <is>
          <t>943611414:eng</t>
        </is>
      </c>
      <c r="AV1283" t="inlineStr">
        <is>
          <t>24501616</t>
        </is>
      </c>
      <c r="AW1283" t="inlineStr">
        <is>
          <t>991001938709702656</t>
        </is>
      </c>
      <c r="AX1283" t="inlineStr">
        <is>
          <t>991001938709702656</t>
        </is>
      </c>
      <c r="AY1283" t="inlineStr">
        <is>
          <t>2268637470002656</t>
        </is>
      </c>
      <c r="AZ1283" t="inlineStr">
        <is>
          <t>BOOK</t>
        </is>
      </c>
      <c r="BB1283" t="inlineStr">
        <is>
          <t>9780444882363</t>
        </is>
      </c>
      <c r="BC1283" t="inlineStr">
        <is>
          <t>32285001285203</t>
        </is>
      </c>
      <c r="BD1283" t="inlineStr">
        <is>
          <t>893244564</t>
        </is>
      </c>
    </row>
    <row r="1284">
      <c r="A1284" t="inlineStr">
        <is>
          <t>No</t>
        </is>
      </c>
      <c r="B1284" t="inlineStr">
        <is>
          <t>QD79.C4 A55 1983, v...</t>
        </is>
      </c>
      <c r="C1284" t="inlineStr">
        <is>
          <t>0                      QD 0079000C  4                  A  55          1983                  v...</t>
        </is>
      </c>
      <c r="D1284" t="inlineStr">
        <is>
          <t>Amino acids and amines / author, Stanley Blackburn.</t>
        </is>
      </c>
      <c r="E1284" t="inlineStr">
        <is>
          <t>V. 1</t>
        </is>
      </c>
      <c r="F1284" t="inlineStr">
        <is>
          <t>No</t>
        </is>
      </c>
      <c r="G1284" t="inlineStr">
        <is>
          <t>1</t>
        </is>
      </c>
      <c r="H1284" t="inlineStr">
        <is>
          <t>No</t>
        </is>
      </c>
      <c r="I1284" t="inlineStr">
        <is>
          <t>No</t>
        </is>
      </c>
      <c r="J1284" t="inlineStr">
        <is>
          <t>0</t>
        </is>
      </c>
      <c r="L1284" t="inlineStr">
        <is>
          <t>Boca Raton, Fla. : CRC Press, c1983-</t>
        </is>
      </c>
      <c r="M1284" t="inlineStr">
        <is>
          <t>1983</t>
        </is>
      </c>
      <c r="O1284" t="inlineStr">
        <is>
          <t>eng</t>
        </is>
      </c>
      <c r="P1284" t="inlineStr">
        <is>
          <t>flu</t>
        </is>
      </c>
      <c r="Q1284" t="inlineStr">
        <is>
          <t>CRC handbook of chromatography</t>
        </is>
      </c>
      <c r="R1284" t="inlineStr">
        <is>
          <t xml:space="preserve">QD </t>
        </is>
      </c>
      <c r="S1284" t="n">
        <v>4</v>
      </c>
      <c r="T1284" t="n">
        <v>4</v>
      </c>
      <c r="U1284" t="inlineStr">
        <is>
          <t>1995-10-29</t>
        </is>
      </c>
      <c r="V1284" t="inlineStr">
        <is>
          <t>1995-10-29</t>
        </is>
      </c>
      <c r="W1284" t="inlineStr">
        <is>
          <t>1993-01-22</t>
        </is>
      </c>
      <c r="X1284" t="inlineStr">
        <is>
          <t>1993-01-22</t>
        </is>
      </c>
      <c r="Y1284" t="n">
        <v>344</v>
      </c>
      <c r="Z1284" t="n">
        <v>271</v>
      </c>
      <c r="AA1284" t="n">
        <v>294</v>
      </c>
      <c r="AB1284" t="n">
        <v>2</v>
      </c>
      <c r="AC1284" t="n">
        <v>2</v>
      </c>
      <c r="AD1284" t="n">
        <v>8</v>
      </c>
      <c r="AE1284" t="n">
        <v>8</v>
      </c>
      <c r="AF1284" t="n">
        <v>4</v>
      </c>
      <c r="AG1284" t="n">
        <v>4</v>
      </c>
      <c r="AH1284" t="n">
        <v>1</v>
      </c>
      <c r="AI1284" t="n">
        <v>1</v>
      </c>
      <c r="AJ1284" t="n">
        <v>4</v>
      </c>
      <c r="AK1284" t="n">
        <v>4</v>
      </c>
      <c r="AL1284" t="n">
        <v>1</v>
      </c>
      <c r="AM1284" t="n">
        <v>1</v>
      </c>
      <c r="AN1284" t="n">
        <v>0</v>
      </c>
      <c r="AO1284" t="n">
        <v>0</v>
      </c>
      <c r="AP1284" t="inlineStr">
        <is>
          <t>No</t>
        </is>
      </c>
      <c r="AQ1284" t="inlineStr">
        <is>
          <t>Yes</t>
        </is>
      </c>
      <c r="AR1284">
        <f>HYPERLINK("http://catalog.hathitrust.org/Record/000106808","HathiTrust Record")</f>
        <v/>
      </c>
      <c r="AS1284">
        <f>HYPERLINK("https://creighton-primo.hosted.exlibrisgroup.com/primo-explore/search?tab=default_tab&amp;search_scope=EVERYTHING&amp;vid=01CRU&amp;lang=en_US&amp;offset=0&amp;query=any,contains,991005251209702656","Catalog Record")</f>
        <v/>
      </c>
      <c r="AT1284">
        <f>HYPERLINK("http://www.worldcat.org/oclc/8493586","WorldCat Record")</f>
        <v/>
      </c>
      <c r="AU1284" t="inlineStr">
        <is>
          <t>3857184915:eng</t>
        </is>
      </c>
      <c r="AV1284" t="inlineStr">
        <is>
          <t>8493586</t>
        </is>
      </c>
      <c r="AW1284" t="inlineStr">
        <is>
          <t>991005251209702656</t>
        </is>
      </c>
      <c r="AX1284" t="inlineStr">
        <is>
          <t>991005251209702656</t>
        </is>
      </c>
      <c r="AY1284" t="inlineStr">
        <is>
          <t>2261526080002656</t>
        </is>
      </c>
      <c r="AZ1284" t="inlineStr">
        <is>
          <t>BOOK</t>
        </is>
      </c>
      <c r="BB1284" t="inlineStr">
        <is>
          <t>9780849330643</t>
        </is>
      </c>
      <c r="BC1284" t="inlineStr">
        <is>
          <t>32285001515104</t>
        </is>
      </c>
      <c r="BD1284" t="inlineStr">
        <is>
          <t>893628646</t>
        </is>
      </c>
    </row>
    <row r="1285">
      <c r="A1285" t="inlineStr">
        <is>
          <t>No</t>
        </is>
      </c>
      <c r="B1285" t="inlineStr">
        <is>
          <t>QD79.C4 C485 1992</t>
        </is>
      </c>
      <c r="C1285" t="inlineStr">
        <is>
          <t>0                      QD 0079000C  4                  C  485         1992</t>
        </is>
      </c>
      <c r="D1285" t="inlineStr">
        <is>
          <t>Chromatography : fundamentals and applications of chromatography and related differential migration methods / edited by E. Heftmann.</t>
        </is>
      </c>
      <c r="F1285" t="inlineStr">
        <is>
          <t>Yes</t>
        </is>
      </c>
      <c r="G1285" t="inlineStr">
        <is>
          <t>1</t>
        </is>
      </c>
      <c r="H1285" t="inlineStr">
        <is>
          <t>Yes</t>
        </is>
      </c>
      <c r="I1285" t="inlineStr">
        <is>
          <t>No</t>
        </is>
      </c>
      <c r="J1285" t="inlineStr">
        <is>
          <t>0</t>
        </is>
      </c>
      <c r="L1285" t="inlineStr">
        <is>
          <t>Amsterdam ; New York : Elsevier, 1992.</t>
        </is>
      </c>
      <c r="M1285" t="inlineStr">
        <is>
          <t>1992</t>
        </is>
      </c>
      <c r="N1285" t="inlineStr">
        <is>
          <t>5th ed.</t>
        </is>
      </c>
      <c r="O1285" t="inlineStr">
        <is>
          <t>eng</t>
        </is>
      </c>
      <c r="P1285" t="inlineStr">
        <is>
          <t xml:space="preserve">ne </t>
        </is>
      </c>
      <c r="Q1285" t="inlineStr">
        <is>
          <t>Journal of chromatography library ; v. 51A-B</t>
        </is>
      </c>
      <c r="R1285" t="inlineStr">
        <is>
          <t xml:space="preserve">QD </t>
        </is>
      </c>
      <c r="S1285" t="n">
        <v>16</v>
      </c>
      <c r="T1285" t="n">
        <v>27</v>
      </c>
      <c r="U1285" t="inlineStr">
        <is>
          <t>2006-10-27</t>
        </is>
      </c>
      <c r="V1285" t="inlineStr">
        <is>
          <t>2006-10-27</t>
        </is>
      </c>
      <c r="W1285" t="inlineStr">
        <is>
          <t>1992-09-01</t>
        </is>
      </c>
      <c r="X1285" t="inlineStr">
        <is>
          <t>1992-09-01</t>
        </is>
      </c>
      <c r="Y1285" t="n">
        <v>175</v>
      </c>
      <c r="Z1285" t="n">
        <v>114</v>
      </c>
      <c r="AA1285" t="n">
        <v>278</v>
      </c>
      <c r="AB1285" t="n">
        <v>1</v>
      </c>
      <c r="AC1285" t="n">
        <v>2</v>
      </c>
      <c r="AD1285" t="n">
        <v>7</v>
      </c>
      <c r="AE1285" t="n">
        <v>12</v>
      </c>
      <c r="AF1285" t="n">
        <v>3</v>
      </c>
      <c r="AG1285" t="n">
        <v>4</v>
      </c>
      <c r="AH1285" t="n">
        <v>3</v>
      </c>
      <c r="AI1285" t="n">
        <v>5</v>
      </c>
      <c r="AJ1285" t="n">
        <v>4</v>
      </c>
      <c r="AK1285" t="n">
        <v>7</v>
      </c>
      <c r="AL1285" t="n">
        <v>0</v>
      </c>
      <c r="AM1285" t="n">
        <v>1</v>
      </c>
      <c r="AN1285" t="n">
        <v>0</v>
      </c>
      <c r="AO1285" t="n">
        <v>0</v>
      </c>
      <c r="AP1285" t="inlineStr">
        <is>
          <t>No</t>
        </is>
      </c>
      <c r="AQ1285" t="inlineStr">
        <is>
          <t>Yes</t>
        </is>
      </c>
      <c r="AR1285">
        <f>HYPERLINK("http://catalog.hathitrust.org/Record/002546852","HathiTrust Record")</f>
        <v/>
      </c>
      <c r="AS1285">
        <f>HYPERLINK("https://creighton-primo.hosted.exlibrisgroup.com/primo-explore/search?tab=default_tab&amp;search_scope=EVERYTHING&amp;vid=01CRU&amp;lang=en_US&amp;offset=0&amp;query=any,contains,991001938709702656","Catalog Record")</f>
        <v/>
      </c>
      <c r="AT1285">
        <f>HYPERLINK("http://www.worldcat.org/oclc/24501616","WorldCat Record")</f>
        <v/>
      </c>
      <c r="AU1285" t="inlineStr">
        <is>
          <t>943611414:eng</t>
        </is>
      </c>
      <c r="AV1285" t="inlineStr">
        <is>
          <t>24501616</t>
        </is>
      </c>
      <c r="AW1285" t="inlineStr">
        <is>
          <t>991001938709702656</t>
        </is>
      </c>
      <c r="AX1285" t="inlineStr">
        <is>
          <t>991001938709702656</t>
        </is>
      </c>
      <c r="AY1285" t="inlineStr">
        <is>
          <t>2268637470002656</t>
        </is>
      </c>
      <c r="AZ1285" t="inlineStr">
        <is>
          <t>BOOK</t>
        </is>
      </c>
      <c r="BB1285" t="inlineStr">
        <is>
          <t>9780444882363</t>
        </is>
      </c>
      <c r="BC1285" t="inlineStr">
        <is>
          <t>32285001285195</t>
        </is>
      </c>
      <c r="BD1285" t="inlineStr">
        <is>
          <t>893244565</t>
        </is>
      </c>
    </row>
    <row r="1286">
      <c r="A1286" t="inlineStr">
        <is>
          <t>No</t>
        </is>
      </c>
      <c r="B1286" t="inlineStr">
        <is>
          <t>QD79.C4 H43 1975</t>
        </is>
      </c>
      <c r="C1286" t="inlineStr">
        <is>
          <t>0                      QD 0079000C  4                  H  43          1975</t>
        </is>
      </c>
      <c r="D1286" t="inlineStr">
        <is>
          <t>Chromatography : a laboratory handbook of chromatographic and electrophoretic methods / edited by Erich Heftmann.</t>
        </is>
      </c>
      <c r="F1286" t="inlineStr">
        <is>
          <t>No</t>
        </is>
      </c>
      <c r="G1286" t="inlineStr">
        <is>
          <t>1</t>
        </is>
      </c>
      <c r="H1286" t="inlineStr">
        <is>
          <t>No</t>
        </is>
      </c>
      <c r="I1286" t="inlineStr">
        <is>
          <t>No</t>
        </is>
      </c>
      <c r="J1286" t="inlineStr">
        <is>
          <t>0</t>
        </is>
      </c>
      <c r="K1286" t="inlineStr">
        <is>
          <t>Heftmann, Erich.</t>
        </is>
      </c>
      <c r="L1286" t="inlineStr">
        <is>
          <t>New York : Van Nostrand Reinhold, [1975]</t>
        </is>
      </c>
      <c r="M1286" t="inlineStr">
        <is>
          <t>1975</t>
        </is>
      </c>
      <c r="N1286" t="inlineStr">
        <is>
          <t>3d ed.</t>
        </is>
      </c>
      <c r="O1286" t="inlineStr">
        <is>
          <t>eng</t>
        </is>
      </c>
      <c r="P1286" t="inlineStr">
        <is>
          <t>nyu</t>
        </is>
      </c>
      <c r="R1286" t="inlineStr">
        <is>
          <t xml:space="preserve">QD </t>
        </is>
      </c>
      <c r="S1286" t="n">
        <v>10</v>
      </c>
      <c r="T1286" t="n">
        <v>10</v>
      </c>
      <c r="U1286" t="inlineStr">
        <is>
          <t>2004-02-22</t>
        </is>
      </c>
      <c r="V1286" t="inlineStr">
        <is>
          <t>2004-02-22</t>
        </is>
      </c>
      <c r="W1286" t="inlineStr">
        <is>
          <t>1992-02-03</t>
        </is>
      </c>
      <c r="X1286" t="inlineStr">
        <is>
          <t>1992-02-03</t>
        </is>
      </c>
      <c r="Y1286" t="n">
        <v>704</v>
      </c>
      <c r="Z1286" t="n">
        <v>590</v>
      </c>
      <c r="AA1286" t="n">
        <v>599</v>
      </c>
      <c r="AB1286" t="n">
        <v>6</v>
      </c>
      <c r="AC1286" t="n">
        <v>6</v>
      </c>
      <c r="AD1286" t="n">
        <v>22</v>
      </c>
      <c r="AE1286" t="n">
        <v>22</v>
      </c>
      <c r="AF1286" t="n">
        <v>6</v>
      </c>
      <c r="AG1286" t="n">
        <v>6</v>
      </c>
      <c r="AH1286" t="n">
        <v>6</v>
      </c>
      <c r="AI1286" t="n">
        <v>6</v>
      </c>
      <c r="AJ1286" t="n">
        <v>10</v>
      </c>
      <c r="AK1286" t="n">
        <v>10</v>
      </c>
      <c r="AL1286" t="n">
        <v>5</v>
      </c>
      <c r="AM1286" t="n">
        <v>5</v>
      </c>
      <c r="AN1286" t="n">
        <v>0</v>
      </c>
      <c r="AO1286" t="n">
        <v>0</v>
      </c>
      <c r="AP1286" t="inlineStr">
        <is>
          <t>No</t>
        </is>
      </c>
      <c r="AQ1286" t="inlineStr">
        <is>
          <t>Yes</t>
        </is>
      </c>
      <c r="AR1286">
        <f>HYPERLINK("http://catalog.hathitrust.org/Record/000020952","HathiTrust Record")</f>
        <v/>
      </c>
      <c r="AS1286">
        <f>HYPERLINK("https://creighton-primo.hosted.exlibrisgroup.com/primo-explore/search?tab=default_tab&amp;search_scope=EVERYTHING&amp;vid=01CRU&amp;lang=en_US&amp;offset=0&amp;query=any,contains,991003628669702656","Catalog Record")</f>
        <v/>
      </c>
      <c r="AT1286">
        <f>HYPERLINK("http://www.worldcat.org/oclc/1218653","WorldCat Record")</f>
        <v/>
      </c>
      <c r="AU1286" t="inlineStr">
        <is>
          <t>3314082568:eng</t>
        </is>
      </c>
      <c r="AV1286" t="inlineStr">
        <is>
          <t>1218653</t>
        </is>
      </c>
      <c r="AW1286" t="inlineStr">
        <is>
          <t>991003628669702656</t>
        </is>
      </c>
      <c r="AX1286" t="inlineStr">
        <is>
          <t>991003628669702656</t>
        </is>
      </c>
      <c r="AY1286" t="inlineStr">
        <is>
          <t>2271777100002656</t>
        </is>
      </c>
      <c r="AZ1286" t="inlineStr">
        <is>
          <t>BOOK</t>
        </is>
      </c>
      <c r="BB1286" t="inlineStr">
        <is>
          <t>9780442232801</t>
        </is>
      </c>
      <c r="BC1286" t="inlineStr">
        <is>
          <t>32285000932870</t>
        </is>
      </c>
      <c r="BD1286" t="inlineStr">
        <is>
          <t>893505787</t>
        </is>
      </c>
    </row>
    <row r="1287">
      <c r="A1287" t="inlineStr">
        <is>
          <t>No</t>
        </is>
      </c>
      <c r="B1287" t="inlineStr">
        <is>
          <t>QD79.C4 I56 1985</t>
        </is>
      </c>
      <c r="C1287" t="inlineStr">
        <is>
          <t>0                      QD 0079000C  4                  I  56          1985</t>
        </is>
      </c>
      <c r="D1287" t="inlineStr">
        <is>
          <t>Inorganic chromatographic analysis / edited by John C. MacDonald.</t>
        </is>
      </c>
      <c r="F1287" t="inlineStr">
        <is>
          <t>No</t>
        </is>
      </c>
      <c r="G1287" t="inlineStr">
        <is>
          <t>1</t>
        </is>
      </c>
      <c r="H1287" t="inlineStr">
        <is>
          <t>No</t>
        </is>
      </c>
      <c r="I1287" t="inlineStr">
        <is>
          <t>No</t>
        </is>
      </c>
      <c r="J1287" t="inlineStr">
        <is>
          <t>0</t>
        </is>
      </c>
      <c r="L1287" t="inlineStr">
        <is>
          <t>New York : Wiley, c1985.</t>
        </is>
      </c>
      <c r="M1287" t="inlineStr">
        <is>
          <t>1985</t>
        </is>
      </c>
      <c r="O1287" t="inlineStr">
        <is>
          <t>eng</t>
        </is>
      </c>
      <c r="P1287" t="inlineStr">
        <is>
          <t>nyu</t>
        </is>
      </c>
      <c r="Q1287" t="inlineStr">
        <is>
          <t>Chemical analysis ; v. 78</t>
        </is>
      </c>
      <c r="R1287" t="inlineStr">
        <is>
          <t xml:space="preserve">QD </t>
        </is>
      </c>
      <c r="S1287" t="n">
        <v>3</v>
      </c>
      <c r="T1287" t="n">
        <v>3</v>
      </c>
      <c r="U1287" t="inlineStr">
        <is>
          <t>1995-01-20</t>
        </is>
      </c>
      <c r="V1287" t="inlineStr">
        <is>
          <t>1995-01-20</t>
        </is>
      </c>
      <c r="W1287" t="inlineStr">
        <is>
          <t>1993-01-22</t>
        </is>
      </c>
      <c r="X1287" t="inlineStr">
        <is>
          <t>1993-01-22</t>
        </is>
      </c>
      <c r="Y1287" t="n">
        <v>576</v>
      </c>
      <c r="Z1287" t="n">
        <v>482</v>
      </c>
      <c r="AA1287" t="n">
        <v>484</v>
      </c>
      <c r="AB1287" t="n">
        <v>4</v>
      </c>
      <c r="AC1287" t="n">
        <v>4</v>
      </c>
      <c r="AD1287" t="n">
        <v>30</v>
      </c>
      <c r="AE1287" t="n">
        <v>30</v>
      </c>
      <c r="AF1287" t="n">
        <v>13</v>
      </c>
      <c r="AG1287" t="n">
        <v>13</v>
      </c>
      <c r="AH1287" t="n">
        <v>7</v>
      </c>
      <c r="AI1287" t="n">
        <v>7</v>
      </c>
      <c r="AJ1287" t="n">
        <v>17</v>
      </c>
      <c r="AK1287" t="n">
        <v>17</v>
      </c>
      <c r="AL1287" t="n">
        <v>3</v>
      </c>
      <c r="AM1287" t="n">
        <v>3</v>
      </c>
      <c r="AN1287" t="n">
        <v>0</v>
      </c>
      <c r="AO1287" t="n">
        <v>0</v>
      </c>
      <c r="AP1287" t="inlineStr">
        <is>
          <t>No</t>
        </is>
      </c>
      <c r="AQ1287" t="inlineStr">
        <is>
          <t>Yes</t>
        </is>
      </c>
      <c r="AR1287">
        <f>HYPERLINK("http://catalog.hathitrust.org/Record/006243116","HathiTrust Record")</f>
        <v/>
      </c>
      <c r="AS1287">
        <f>HYPERLINK("https://creighton-primo.hosted.exlibrisgroup.com/primo-explore/search?tab=default_tab&amp;search_scope=EVERYTHING&amp;vid=01CRU&amp;lang=en_US&amp;offset=0&amp;query=any,contains,991000515679702656","Catalog Record")</f>
        <v/>
      </c>
      <c r="AT1287">
        <f>HYPERLINK("http://www.worldcat.org/oclc/11289335","WorldCat Record")</f>
        <v/>
      </c>
      <c r="AU1287" t="inlineStr">
        <is>
          <t>4085260:eng</t>
        </is>
      </c>
      <c r="AV1287" t="inlineStr">
        <is>
          <t>11289335</t>
        </is>
      </c>
      <c r="AW1287" t="inlineStr">
        <is>
          <t>991000515679702656</t>
        </is>
      </c>
      <c r="AX1287" t="inlineStr">
        <is>
          <t>991000515679702656</t>
        </is>
      </c>
      <c r="AY1287" t="inlineStr">
        <is>
          <t>2272265250002656</t>
        </is>
      </c>
      <c r="AZ1287" t="inlineStr">
        <is>
          <t>BOOK</t>
        </is>
      </c>
      <c r="BB1287" t="inlineStr">
        <is>
          <t>9780471862635</t>
        </is>
      </c>
      <c r="BC1287" t="inlineStr">
        <is>
          <t>32285001515120</t>
        </is>
      </c>
      <c r="BD1287" t="inlineStr">
        <is>
          <t>893315004</t>
        </is>
      </c>
    </row>
    <row r="1288">
      <c r="A1288" t="inlineStr">
        <is>
          <t>No</t>
        </is>
      </c>
      <c r="B1288" t="inlineStr">
        <is>
          <t>QD79.C4 M55 2005</t>
        </is>
      </c>
      <c r="C1288" t="inlineStr">
        <is>
          <t>0                      QD 0079000C  4                  M  55          2005</t>
        </is>
      </c>
      <c r="D1288" t="inlineStr">
        <is>
          <t>Chromatography : concepts and contrasts / James M. Miller.</t>
        </is>
      </c>
      <c r="F1288" t="inlineStr">
        <is>
          <t>No</t>
        </is>
      </c>
      <c r="G1288" t="inlineStr">
        <is>
          <t>1</t>
        </is>
      </c>
      <c r="H1288" t="inlineStr">
        <is>
          <t>No</t>
        </is>
      </c>
      <c r="I1288" t="inlineStr">
        <is>
          <t>No</t>
        </is>
      </c>
      <c r="J1288" t="inlineStr">
        <is>
          <t>0</t>
        </is>
      </c>
      <c r="K1288" t="inlineStr">
        <is>
          <t>Miller, James M., 1933-</t>
        </is>
      </c>
      <c r="L1288" t="inlineStr">
        <is>
          <t>Hoboken, N.J. : Wiley, c2005.</t>
        </is>
      </c>
      <c r="M1288" t="inlineStr">
        <is>
          <t>2005</t>
        </is>
      </c>
      <c r="N1288" t="inlineStr">
        <is>
          <t>2nd ed.</t>
        </is>
      </c>
      <c r="O1288" t="inlineStr">
        <is>
          <t>eng</t>
        </is>
      </c>
      <c r="P1288" t="inlineStr">
        <is>
          <t>nju</t>
        </is>
      </c>
      <c r="R1288" t="inlineStr">
        <is>
          <t xml:space="preserve">QD </t>
        </is>
      </c>
      <c r="S1288" t="n">
        <v>1</v>
      </c>
      <c r="T1288" t="n">
        <v>1</v>
      </c>
      <c r="U1288" t="inlineStr">
        <is>
          <t>2008-09-17</t>
        </is>
      </c>
      <c r="V1288" t="inlineStr">
        <is>
          <t>2008-09-17</t>
        </is>
      </c>
      <c r="W1288" t="inlineStr">
        <is>
          <t>2008-09-17</t>
        </is>
      </c>
      <c r="X1288" t="inlineStr">
        <is>
          <t>2008-09-17</t>
        </is>
      </c>
      <c r="Y1288" t="n">
        <v>408</v>
      </c>
      <c r="Z1288" t="n">
        <v>300</v>
      </c>
      <c r="AA1288" t="n">
        <v>737</v>
      </c>
      <c r="AB1288" t="n">
        <v>2</v>
      </c>
      <c r="AC1288" t="n">
        <v>10</v>
      </c>
      <c r="AD1288" t="n">
        <v>14</v>
      </c>
      <c r="AE1288" t="n">
        <v>39</v>
      </c>
      <c r="AF1288" t="n">
        <v>5</v>
      </c>
      <c r="AG1288" t="n">
        <v>16</v>
      </c>
      <c r="AH1288" t="n">
        <v>4</v>
      </c>
      <c r="AI1288" t="n">
        <v>5</v>
      </c>
      <c r="AJ1288" t="n">
        <v>7</v>
      </c>
      <c r="AK1288" t="n">
        <v>14</v>
      </c>
      <c r="AL1288" t="n">
        <v>1</v>
      </c>
      <c r="AM1288" t="n">
        <v>9</v>
      </c>
      <c r="AN1288" t="n">
        <v>0</v>
      </c>
      <c r="AO1288" t="n">
        <v>1</v>
      </c>
      <c r="AP1288" t="inlineStr">
        <is>
          <t>No</t>
        </is>
      </c>
      <c r="AQ1288" t="inlineStr">
        <is>
          <t>No</t>
        </is>
      </c>
      <c r="AS1288">
        <f>HYPERLINK("https://creighton-primo.hosted.exlibrisgroup.com/primo-explore/search?tab=default_tab&amp;search_scope=EVERYTHING&amp;vid=01CRU&amp;lang=en_US&amp;offset=0&amp;query=any,contains,991005262759702656","Catalog Record")</f>
        <v/>
      </c>
      <c r="AT1288">
        <f>HYPERLINK("http://www.worldcat.org/oclc/54454751","WorldCat Record")</f>
        <v/>
      </c>
      <c r="AU1288" t="inlineStr">
        <is>
          <t>3768440946:eng</t>
        </is>
      </c>
      <c r="AV1288" t="inlineStr">
        <is>
          <t>54454751</t>
        </is>
      </c>
      <c r="AW1288" t="inlineStr">
        <is>
          <t>991005262759702656</t>
        </is>
      </c>
      <c r="AX1288" t="inlineStr">
        <is>
          <t>991005262759702656</t>
        </is>
      </c>
      <c r="AY1288" t="inlineStr">
        <is>
          <t>2258378400002656</t>
        </is>
      </c>
      <c r="AZ1288" t="inlineStr">
        <is>
          <t>BOOK</t>
        </is>
      </c>
      <c r="BB1288" t="inlineStr">
        <is>
          <t>9780471472070</t>
        </is>
      </c>
      <c r="BC1288" t="inlineStr">
        <is>
          <t>32285005458657</t>
        </is>
      </c>
      <c r="BD1288" t="inlineStr">
        <is>
          <t>893236561</t>
        </is>
      </c>
    </row>
    <row r="1289">
      <c r="A1289" t="inlineStr">
        <is>
          <t>No</t>
        </is>
      </c>
      <c r="B1289" t="inlineStr">
        <is>
          <t>QD79.C45 G354 2001</t>
        </is>
      </c>
      <c r="C1289" t="inlineStr">
        <is>
          <t>0                      QD 0079000C  45                 G  354         2001</t>
        </is>
      </c>
      <c r="D1289" t="inlineStr">
        <is>
          <t>Gas chromatographic techniques and applications / edited by Alan J. Handley and Edward R. Adlard.</t>
        </is>
      </c>
      <c r="F1289" t="inlineStr">
        <is>
          <t>No</t>
        </is>
      </c>
      <c r="G1289" t="inlineStr">
        <is>
          <t>1</t>
        </is>
      </c>
      <c r="H1289" t="inlineStr">
        <is>
          <t>No</t>
        </is>
      </c>
      <c r="I1289" t="inlineStr">
        <is>
          <t>No</t>
        </is>
      </c>
      <c r="J1289" t="inlineStr">
        <is>
          <t>0</t>
        </is>
      </c>
      <c r="L1289" t="inlineStr">
        <is>
          <t>Sheffield, England : Sheffield Academic Press ; Boca Raton, FL : CRC Press, 2001.</t>
        </is>
      </c>
      <c r="M1289" t="inlineStr">
        <is>
          <t>2001</t>
        </is>
      </c>
      <c r="O1289" t="inlineStr">
        <is>
          <t>eng</t>
        </is>
      </c>
      <c r="P1289" t="inlineStr">
        <is>
          <t>enk</t>
        </is>
      </c>
      <c r="Q1289" t="inlineStr">
        <is>
          <t>Sheffield analytical chemistry</t>
        </is>
      </c>
      <c r="R1289" t="inlineStr">
        <is>
          <t xml:space="preserve">QD </t>
        </is>
      </c>
      <c r="S1289" t="n">
        <v>2</v>
      </c>
      <c r="T1289" t="n">
        <v>2</v>
      </c>
      <c r="U1289" t="inlineStr">
        <is>
          <t>2007-07-31</t>
        </is>
      </c>
      <c r="V1289" t="inlineStr">
        <is>
          <t>2007-07-31</t>
        </is>
      </c>
      <c r="W1289" t="inlineStr">
        <is>
          <t>2003-04-01</t>
        </is>
      </c>
      <c r="X1289" t="inlineStr">
        <is>
          <t>2003-04-01</t>
        </is>
      </c>
      <c r="Y1289" t="n">
        <v>177</v>
      </c>
      <c r="Z1289" t="n">
        <v>119</v>
      </c>
      <c r="AA1289" t="n">
        <v>120</v>
      </c>
      <c r="AB1289" t="n">
        <v>1</v>
      </c>
      <c r="AC1289" t="n">
        <v>1</v>
      </c>
      <c r="AD1289" t="n">
        <v>4</v>
      </c>
      <c r="AE1289" t="n">
        <v>4</v>
      </c>
      <c r="AF1289" t="n">
        <v>1</v>
      </c>
      <c r="AG1289" t="n">
        <v>1</v>
      </c>
      <c r="AH1289" t="n">
        <v>2</v>
      </c>
      <c r="AI1289" t="n">
        <v>2</v>
      </c>
      <c r="AJ1289" t="n">
        <v>3</v>
      </c>
      <c r="AK1289" t="n">
        <v>3</v>
      </c>
      <c r="AL1289" t="n">
        <v>0</v>
      </c>
      <c r="AM1289" t="n">
        <v>0</v>
      </c>
      <c r="AN1289" t="n">
        <v>0</v>
      </c>
      <c r="AO1289" t="n">
        <v>0</v>
      </c>
      <c r="AP1289" t="inlineStr">
        <is>
          <t>No</t>
        </is>
      </c>
      <c r="AQ1289" t="inlineStr">
        <is>
          <t>No</t>
        </is>
      </c>
      <c r="AS1289">
        <f>HYPERLINK("https://creighton-primo.hosted.exlibrisgroup.com/primo-explore/search?tab=default_tab&amp;search_scope=EVERYTHING&amp;vid=01CRU&amp;lang=en_US&amp;offset=0&amp;query=any,contains,991003998829702656","Catalog Record")</f>
        <v/>
      </c>
      <c r="AT1289">
        <f>HYPERLINK("http://www.worldcat.org/oclc/43707102","WorldCat Record")</f>
        <v/>
      </c>
      <c r="AU1289" t="inlineStr">
        <is>
          <t>364228935:eng</t>
        </is>
      </c>
      <c r="AV1289" t="inlineStr">
        <is>
          <t>43707102</t>
        </is>
      </c>
      <c r="AW1289" t="inlineStr">
        <is>
          <t>991003998829702656</t>
        </is>
      </c>
      <c r="AX1289" t="inlineStr">
        <is>
          <t>991003998829702656</t>
        </is>
      </c>
      <c r="AY1289" t="inlineStr">
        <is>
          <t>2268913440002656</t>
        </is>
      </c>
      <c r="AZ1289" t="inlineStr">
        <is>
          <t>BOOK</t>
        </is>
      </c>
      <c r="BB1289" t="inlineStr">
        <is>
          <t>9780849305146</t>
        </is>
      </c>
      <c r="BC1289" t="inlineStr">
        <is>
          <t>32285004688510</t>
        </is>
      </c>
      <c r="BD1289" t="inlineStr">
        <is>
          <t>893775479</t>
        </is>
      </c>
    </row>
    <row r="1290">
      <c r="A1290" t="inlineStr">
        <is>
          <t>No</t>
        </is>
      </c>
      <c r="B1290" t="inlineStr">
        <is>
          <t>QD79.C45 G364 1990</t>
        </is>
      </c>
      <c r="C1290" t="inlineStr">
        <is>
          <t>0                      QD 0079000C  45                 G  364         1990</t>
        </is>
      </c>
      <c r="D1290" t="inlineStr">
        <is>
          <t>Gas chromatography : biochemical, biomedical, and clinical applications / edited by Ray E. Clement.</t>
        </is>
      </c>
      <c r="F1290" t="inlineStr">
        <is>
          <t>No</t>
        </is>
      </c>
      <c r="G1290" t="inlineStr">
        <is>
          <t>1</t>
        </is>
      </c>
      <c r="H1290" t="inlineStr">
        <is>
          <t>No</t>
        </is>
      </c>
      <c r="I1290" t="inlineStr">
        <is>
          <t>No</t>
        </is>
      </c>
      <c r="J1290" t="inlineStr">
        <is>
          <t>0</t>
        </is>
      </c>
      <c r="L1290" t="inlineStr">
        <is>
          <t>New York : Wiley, c1990.</t>
        </is>
      </c>
      <c r="M1290" t="inlineStr">
        <is>
          <t>1990</t>
        </is>
      </c>
      <c r="O1290" t="inlineStr">
        <is>
          <t>eng</t>
        </is>
      </c>
      <c r="P1290" t="inlineStr">
        <is>
          <t>nyu</t>
        </is>
      </c>
      <c r="Q1290" t="inlineStr">
        <is>
          <t>Chemical analysis ; v. 111</t>
        </is>
      </c>
      <c r="R1290" t="inlineStr">
        <is>
          <t xml:space="preserve">QD </t>
        </is>
      </c>
      <c r="S1290" t="n">
        <v>4</v>
      </c>
      <c r="T1290" t="n">
        <v>4</v>
      </c>
      <c r="U1290" t="inlineStr">
        <is>
          <t>1994-09-29</t>
        </is>
      </c>
      <c r="V1290" t="inlineStr">
        <is>
          <t>1994-09-29</t>
        </is>
      </c>
      <c r="W1290" t="inlineStr">
        <is>
          <t>1991-10-17</t>
        </is>
      </c>
      <c r="X1290" t="inlineStr">
        <is>
          <t>1991-10-17</t>
        </is>
      </c>
      <c r="Y1290" t="n">
        <v>239</v>
      </c>
      <c r="Z1290" t="n">
        <v>180</v>
      </c>
      <c r="AA1290" t="n">
        <v>181</v>
      </c>
      <c r="AB1290" t="n">
        <v>2</v>
      </c>
      <c r="AC1290" t="n">
        <v>2</v>
      </c>
      <c r="AD1290" t="n">
        <v>4</v>
      </c>
      <c r="AE1290" t="n">
        <v>4</v>
      </c>
      <c r="AF1290" t="n">
        <v>1</v>
      </c>
      <c r="AG1290" t="n">
        <v>1</v>
      </c>
      <c r="AH1290" t="n">
        <v>2</v>
      </c>
      <c r="AI1290" t="n">
        <v>2</v>
      </c>
      <c r="AJ1290" t="n">
        <v>3</v>
      </c>
      <c r="AK1290" t="n">
        <v>3</v>
      </c>
      <c r="AL1290" t="n">
        <v>1</v>
      </c>
      <c r="AM1290" t="n">
        <v>1</v>
      </c>
      <c r="AN1290" t="n">
        <v>0</v>
      </c>
      <c r="AO1290" t="n">
        <v>0</v>
      </c>
      <c r="AP1290" t="inlineStr">
        <is>
          <t>No</t>
        </is>
      </c>
      <c r="AQ1290" t="inlineStr">
        <is>
          <t>Yes</t>
        </is>
      </c>
      <c r="AR1290">
        <f>HYPERLINK("http://catalog.hathitrust.org/Record/002437591","HathiTrust Record")</f>
        <v/>
      </c>
      <c r="AS1290">
        <f>HYPERLINK("https://creighton-primo.hosted.exlibrisgroup.com/primo-explore/search?tab=default_tab&amp;search_scope=EVERYTHING&amp;vid=01CRU&amp;lang=en_US&amp;offset=0&amp;query=any,contains,991001742799702656","Catalog Record")</f>
        <v/>
      </c>
      <c r="AT1290">
        <f>HYPERLINK("http://www.worldcat.org/oclc/22006806","WorldCat Record")</f>
        <v/>
      </c>
      <c r="AU1290" t="inlineStr">
        <is>
          <t>806718907:eng</t>
        </is>
      </c>
      <c r="AV1290" t="inlineStr">
        <is>
          <t>22006806</t>
        </is>
      </c>
      <c r="AW1290" t="inlineStr">
        <is>
          <t>991001742799702656</t>
        </is>
      </c>
      <c r="AX1290" t="inlineStr">
        <is>
          <t>991001742799702656</t>
        </is>
      </c>
      <c r="AY1290" t="inlineStr">
        <is>
          <t>2264924410002656</t>
        </is>
      </c>
      <c r="AZ1290" t="inlineStr">
        <is>
          <t>BOOK</t>
        </is>
      </c>
      <c r="BB1290" t="inlineStr">
        <is>
          <t>9780471010487</t>
        </is>
      </c>
      <c r="BC1290" t="inlineStr">
        <is>
          <t>32285000727379</t>
        </is>
      </c>
      <c r="BD1290" t="inlineStr">
        <is>
          <t>893772848</t>
        </is>
      </c>
    </row>
    <row r="1291">
      <c r="A1291" t="inlineStr">
        <is>
          <t>No</t>
        </is>
      </c>
      <c r="B1291" t="inlineStr">
        <is>
          <t>QD79.C45 M63 2004</t>
        </is>
      </c>
      <c r="C1291" t="inlineStr">
        <is>
          <t>0                      QD 0079000C  45                 M  63          2004</t>
        </is>
      </c>
      <c r="D1291" t="inlineStr">
        <is>
          <t>Modern practice of gas chromatography.</t>
        </is>
      </c>
      <c r="F1291" t="inlineStr">
        <is>
          <t>No</t>
        </is>
      </c>
      <c r="G1291" t="inlineStr">
        <is>
          <t>1</t>
        </is>
      </c>
      <c r="H1291" t="inlineStr">
        <is>
          <t>No</t>
        </is>
      </c>
      <c r="I1291" t="inlineStr">
        <is>
          <t>No</t>
        </is>
      </c>
      <c r="J1291" t="inlineStr">
        <is>
          <t>0</t>
        </is>
      </c>
      <c r="L1291" t="inlineStr">
        <is>
          <t>Hoboken, N.J. : Wiley-Interscience, c2004.</t>
        </is>
      </c>
      <c r="M1291" t="inlineStr">
        <is>
          <t>2004</t>
        </is>
      </c>
      <c r="N1291" t="inlineStr">
        <is>
          <t>4th ed. / edited by Robert L. Grob, Eugene F. Barry.</t>
        </is>
      </c>
      <c r="O1291" t="inlineStr">
        <is>
          <t>eng</t>
        </is>
      </c>
      <c r="P1291" t="inlineStr">
        <is>
          <t>nju</t>
        </is>
      </c>
      <c r="R1291" t="inlineStr">
        <is>
          <t xml:space="preserve">QD </t>
        </is>
      </c>
      <c r="S1291" t="n">
        <v>1</v>
      </c>
      <c r="T1291" t="n">
        <v>1</v>
      </c>
      <c r="U1291" t="inlineStr">
        <is>
          <t>2005-05-24</t>
        </is>
      </c>
      <c r="V1291" t="inlineStr">
        <is>
          <t>2005-05-24</t>
        </is>
      </c>
      <c r="W1291" t="inlineStr">
        <is>
          <t>2005-05-24</t>
        </is>
      </c>
      <c r="X1291" t="inlineStr">
        <is>
          <t>2005-05-24</t>
        </is>
      </c>
      <c r="Y1291" t="n">
        <v>430</v>
      </c>
      <c r="Z1291" t="n">
        <v>311</v>
      </c>
      <c r="AA1291" t="n">
        <v>1354</v>
      </c>
      <c r="AB1291" t="n">
        <v>2</v>
      </c>
      <c r="AC1291" t="n">
        <v>33</v>
      </c>
      <c r="AD1291" t="n">
        <v>19</v>
      </c>
      <c r="AE1291" t="n">
        <v>59</v>
      </c>
      <c r="AF1291" t="n">
        <v>9</v>
      </c>
      <c r="AG1291" t="n">
        <v>24</v>
      </c>
      <c r="AH1291" t="n">
        <v>5</v>
      </c>
      <c r="AI1291" t="n">
        <v>10</v>
      </c>
      <c r="AJ1291" t="n">
        <v>9</v>
      </c>
      <c r="AK1291" t="n">
        <v>22</v>
      </c>
      <c r="AL1291" t="n">
        <v>1</v>
      </c>
      <c r="AM1291" t="n">
        <v>14</v>
      </c>
      <c r="AN1291" t="n">
        <v>0</v>
      </c>
      <c r="AO1291" t="n">
        <v>0</v>
      </c>
      <c r="AP1291" t="inlineStr">
        <is>
          <t>No</t>
        </is>
      </c>
      <c r="AQ1291" t="inlineStr">
        <is>
          <t>No</t>
        </is>
      </c>
      <c r="AS1291">
        <f>HYPERLINK("https://creighton-primo.hosted.exlibrisgroup.com/primo-explore/search?tab=default_tab&amp;search_scope=EVERYTHING&amp;vid=01CRU&amp;lang=en_US&amp;offset=0&amp;query=any,contains,991004535449702656","Catalog Record")</f>
        <v/>
      </c>
      <c r="AT1291">
        <f>HYPERLINK("http://www.worldcat.org/oclc/53178616","WorldCat Record")</f>
        <v/>
      </c>
      <c r="AU1291" t="inlineStr">
        <is>
          <t>766906383:eng</t>
        </is>
      </c>
      <c r="AV1291" t="inlineStr">
        <is>
          <t>53178616</t>
        </is>
      </c>
      <c r="AW1291" t="inlineStr">
        <is>
          <t>991004535449702656</t>
        </is>
      </c>
      <c r="AX1291" t="inlineStr">
        <is>
          <t>991004535449702656</t>
        </is>
      </c>
      <c r="AY1291" t="inlineStr">
        <is>
          <t>2261556450002656</t>
        </is>
      </c>
      <c r="AZ1291" t="inlineStr">
        <is>
          <t>BOOK</t>
        </is>
      </c>
      <c r="BB1291" t="inlineStr">
        <is>
          <t>9780471229834</t>
        </is>
      </c>
      <c r="BC1291" t="inlineStr">
        <is>
          <t>32285005039879</t>
        </is>
      </c>
      <c r="BD1291" t="inlineStr">
        <is>
          <t>893325485</t>
        </is>
      </c>
    </row>
    <row r="1292">
      <c r="A1292" t="inlineStr">
        <is>
          <t>No</t>
        </is>
      </c>
      <c r="B1292" t="inlineStr">
        <is>
          <t>QD79.C45 S3913 1990</t>
        </is>
      </c>
      <c r="C1292" t="inlineStr">
        <is>
          <t>0                      QD 0079000C  45                 S  3913        1990</t>
        </is>
      </c>
      <c r="D1292" t="inlineStr">
        <is>
          <t>Gas chromatography : a practical course / Gerhard Schomburg.</t>
        </is>
      </c>
      <c r="F1292" t="inlineStr">
        <is>
          <t>No</t>
        </is>
      </c>
      <c r="G1292" t="inlineStr">
        <is>
          <t>1</t>
        </is>
      </c>
      <c r="H1292" t="inlineStr">
        <is>
          <t>No</t>
        </is>
      </c>
      <c r="I1292" t="inlineStr">
        <is>
          <t>No</t>
        </is>
      </c>
      <c r="J1292" t="inlineStr">
        <is>
          <t>0</t>
        </is>
      </c>
      <c r="K1292" t="inlineStr">
        <is>
          <t>Schomburg, Gerhard, 1929-</t>
        </is>
      </c>
      <c r="L1292" t="inlineStr">
        <is>
          <t>Weinheim ; New York : VCH, c1990.</t>
        </is>
      </c>
      <c r="M1292" t="inlineStr">
        <is>
          <t>1990</t>
        </is>
      </c>
      <c r="O1292" t="inlineStr">
        <is>
          <t>eng</t>
        </is>
      </c>
      <c r="P1292" t="inlineStr">
        <is>
          <t xml:space="preserve">gw </t>
        </is>
      </c>
      <c r="R1292" t="inlineStr">
        <is>
          <t xml:space="preserve">QD </t>
        </is>
      </c>
      <c r="S1292" t="n">
        <v>12</v>
      </c>
      <c r="T1292" t="n">
        <v>12</v>
      </c>
      <c r="U1292" t="inlineStr">
        <is>
          <t>2004-04-25</t>
        </is>
      </c>
      <c r="V1292" t="inlineStr">
        <is>
          <t>2004-04-25</t>
        </is>
      </c>
      <c r="W1292" t="inlineStr">
        <is>
          <t>1995-02-22</t>
        </is>
      </c>
      <c r="X1292" t="inlineStr">
        <is>
          <t>1995-02-22</t>
        </is>
      </c>
      <c r="Y1292" t="n">
        <v>379</v>
      </c>
      <c r="Z1292" t="n">
        <v>242</v>
      </c>
      <c r="AA1292" t="n">
        <v>245</v>
      </c>
      <c r="AB1292" t="n">
        <v>4</v>
      </c>
      <c r="AC1292" t="n">
        <v>4</v>
      </c>
      <c r="AD1292" t="n">
        <v>13</v>
      </c>
      <c r="AE1292" t="n">
        <v>13</v>
      </c>
      <c r="AF1292" t="n">
        <v>6</v>
      </c>
      <c r="AG1292" t="n">
        <v>6</v>
      </c>
      <c r="AH1292" t="n">
        <v>2</v>
      </c>
      <c r="AI1292" t="n">
        <v>2</v>
      </c>
      <c r="AJ1292" t="n">
        <v>5</v>
      </c>
      <c r="AK1292" t="n">
        <v>5</v>
      </c>
      <c r="AL1292" t="n">
        <v>3</v>
      </c>
      <c r="AM1292" t="n">
        <v>3</v>
      </c>
      <c r="AN1292" t="n">
        <v>0</v>
      </c>
      <c r="AO1292" t="n">
        <v>0</v>
      </c>
      <c r="AP1292" t="inlineStr">
        <is>
          <t>No</t>
        </is>
      </c>
      <c r="AQ1292" t="inlineStr">
        <is>
          <t>Yes</t>
        </is>
      </c>
      <c r="AR1292">
        <f>HYPERLINK("http://catalog.hathitrust.org/Record/002235244","HathiTrust Record")</f>
        <v/>
      </c>
      <c r="AS1292">
        <f>HYPERLINK("https://creighton-primo.hosted.exlibrisgroup.com/primo-explore/search?tab=default_tab&amp;search_scope=EVERYTHING&amp;vid=01CRU&amp;lang=en_US&amp;offset=0&amp;query=any,contains,991005412129702656","Catalog Record")</f>
        <v/>
      </c>
      <c r="AT1292">
        <f>HYPERLINK("http://www.worldcat.org/oclc/21519020","WorldCat Record")</f>
        <v/>
      </c>
      <c r="AU1292" t="inlineStr">
        <is>
          <t>11253024:eng</t>
        </is>
      </c>
      <c r="AV1292" t="inlineStr">
        <is>
          <t>21519020</t>
        </is>
      </c>
      <c r="AW1292" t="inlineStr">
        <is>
          <t>991005412129702656</t>
        </is>
      </c>
      <c r="AX1292" t="inlineStr">
        <is>
          <t>991005412129702656</t>
        </is>
      </c>
      <c r="AY1292" t="inlineStr">
        <is>
          <t>2264757690002656</t>
        </is>
      </c>
      <c r="AZ1292" t="inlineStr">
        <is>
          <t>BOOK</t>
        </is>
      </c>
      <c r="BB1292" t="inlineStr">
        <is>
          <t>9780895738899</t>
        </is>
      </c>
      <c r="BC1292" t="inlineStr">
        <is>
          <t>32285001999985</t>
        </is>
      </c>
      <c r="BD1292" t="inlineStr">
        <is>
          <t>893701536</t>
        </is>
      </c>
    </row>
    <row r="1293">
      <c r="A1293" t="inlineStr">
        <is>
          <t>No</t>
        </is>
      </c>
      <c r="B1293" t="inlineStr">
        <is>
          <t>QD79.C45 S65 1988</t>
        </is>
      </c>
      <c r="C1293" t="inlineStr">
        <is>
          <t>0                      QD 0079000C  45                 S  65          1988</t>
        </is>
      </c>
      <c r="D1293" t="inlineStr">
        <is>
          <t>Gas and liquid chromatography in analytical chemistry / Roger M. Smith.</t>
        </is>
      </c>
      <c r="F1293" t="inlineStr">
        <is>
          <t>No</t>
        </is>
      </c>
      <c r="G1293" t="inlineStr">
        <is>
          <t>1</t>
        </is>
      </c>
      <c r="H1293" t="inlineStr">
        <is>
          <t>No</t>
        </is>
      </c>
      <c r="I1293" t="inlineStr">
        <is>
          <t>No</t>
        </is>
      </c>
      <c r="J1293" t="inlineStr">
        <is>
          <t>0</t>
        </is>
      </c>
      <c r="K1293" t="inlineStr">
        <is>
          <t>Smith, Roger M. (Roger Malcolm), 1943-</t>
        </is>
      </c>
      <c r="L1293" t="inlineStr">
        <is>
          <t>Chichester [West Sussex] ; New York : Wiley, c1988.</t>
        </is>
      </c>
      <c r="M1293" t="inlineStr">
        <is>
          <t>1988</t>
        </is>
      </c>
      <c r="O1293" t="inlineStr">
        <is>
          <t>eng</t>
        </is>
      </c>
      <c r="P1293" t="inlineStr">
        <is>
          <t>enk</t>
        </is>
      </c>
      <c r="R1293" t="inlineStr">
        <is>
          <t xml:space="preserve">QD </t>
        </is>
      </c>
      <c r="S1293" t="n">
        <v>5</v>
      </c>
      <c r="T1293" t="n">
        <v>5</v>
      </c>
      <c r="U1293" t="inlineStr">
        <is>
          <t>1999-08-03</t>
        </is>
      </c>
      <c r="V1293" t="inlineStr">
        <is>
          <t>1999-08-03</t>
        </is>
      </c>
      <c r="W1293" t="inlineStr">
        <is>
          <t>1995-02-22</t>
        </is>
      </c>
      <c r="X1293" t="inlineStr">
        <is>
          <t>1995-02-22</t>
        </is>
      </c>
      <c r="Y1293" t="n">
        <v>334</v>
      </c>
      <c r="Z1293" t="n">
        <v>262</v>
      </c>
      <c r="AA1293" t="n">
        <v>263</v>
      </c>
      <c r="AB1293" t="n">
        <v>3</v>
      </c>
      <c r="AC1293" t="n">
        <v>3</v>
      </c>
      <c r="AD1293" t="n">
        <v>14</v>
      </c>
      <c r="AE1293" t="n">
        <v>14</v>
      </c>
      <c r="AF1293" t="n">
        <v>6</v>
      </c>
      <c r="AG1293" t="n">
        <v>6</v>
      </c>
      <c r="AH1293" t="n">
        <v>2</v>
      </c>
      <c r="AI1293" t="n">
        <v>2</v>
      </c>
      <c r="AJ1293" t="n">
        <v>7</v>
      </c>
      <c r="AK1293" t="n">
        <v>7</v>
      </c>
      <c r="AL1293" t="n">
        <v>2</v>
      </c>
      <c r="AM1293" t="n">
        <v>2</v>
      </c>
      <c r="AN1293" t="n">
        <v>0</v>
      </c>
      <c r="AO1293" t="n">
        <v>0</v>
      </c>
      <c r="AP1293" t="inlineStr">
        <is>
          <t>No</t>
        </is>
      </c>
      <c r="AQ1293" t="inlineStr">
        <is>
          <t>Yes</t>
        </is>
      </c>
      <c r="AR1293">
        <f>HYPERLINK("http://catalog.hathitrust.org/Record/001083342","HathiTrust Record")</f>
        <v/>
      </c>
      <c r="AS1293">
        <f>HYPERLINK("https://creighton-primo.hosted.exlibrisgroup.com/primo-explore/search?tab=default_tab&amp;search_scope=EVERYTHING&amp;vid=01CRU&amp;lang=en_US&amp;offset=0&amp;query=any,contains,991001196109702656","Catalog Record")</f>
        <v/>
      </c>
      <c r="AT1293">
        <f>HYPERLINK("http://www.worldcat.org/oclc/17295590","WorldCat Record")</f>
        <v/>
      </c>
      <c r="AU1293" t="inlineStr">
        <is>
          <t>144061856:eng</t>
        </is>
      </c>
      <c r="AV1293" t="inlineStr">
        <is>
          <t>17295590</t>
        </is>
      </c>
      <c r="AW1293" t="inlineStr">
        <is>
          <t>991001196109702656</t>
        </is>
      </c>
      <c r="AX1293" t="inlineStr">
        <is>
          <t>991001196109702656</t>
        </is>
      </c>
      <c r="AY1293" t="inlineStr">
        <is>
          <t>2268502870002656</t>
        </is>
      </c>
      <c r="AZ1293" t="inlineStr">
        <is>
          <t>BOOK</t>
        </is>
      </c>
      <c r="BB1293" t="inlineStr">
        <is>
          <t>9780471909804</t>
        </is>
      </c>
      <c r="BC1293" t="inlineStr">
        <is>
          <t>32285001999969</t>
        </is>
      </c>
      <c r="BD1293" t="inlineStr">
        <is>
          <t>893709075</t>
        </is>
      </c>
    </row>
    <row r="1294">
      <c r="A1294" t="inlineStr">
        <is>
          <t>No</t>
        </is>
      </c>
      <c r="B1294" t="inlineStr">
        <is>
          <t>QD79.C45 W55 1987</t>
        </is>
      </c>
      <c r="C1294" t="inlineStr">
        <is>
          <t>0                      QD 0079000C  45                 W  55          1987</t>
        </is>
      </c>
      <c r="D1294" t="inlineStr">
        <is>
          <t>Gas chromatography / author, John Willett ; editor, David Kealey on behalf of ACOL.</t>
        </is>
      </c>
      <c r="F1294" t="inlineStr">
        <is>
          <t>No</t>
        </is>
      </c>
      <c r="G1294" t="inlineStr">
        <is>
          <t>1</t>
        </is>
      </c>
      <c r="H1294" t="inlineStr">
        <is>
          <t>No</t>
        </is>
      </c>
      <c r="I1294" t="inlineStr">
        <is>
          <t>No</t>
        </is>
      </c>
      <c r="J1294" t="inlineStr">
        <is>
          <t>0</t>
        </is>
      </c>
      <c r="K1294" t="inlineStr">
        <is>
          <t>Willett, John, 1938-</t>
        </is>
      </c>
      <c r="L1294" t="inlineStr">
        <is>
          <t>Chichester [West Sussex] ; New York : Wiley, c1987.</t>
        </is>
      </c>
      <c r="M1294" t="inlineStr">
        <is>
          <t>1987</t>
        </is>
      </c>
      <c r="O1294" t="inlineStr">
        <is>
          <t>eng</t>
        </is>
      </c>
      <c r="P1294" t="inlineStr">
        <is>
          <t>enk</t>
        </is>
      </c>
      <c r="Q1294" t="inlineStr">
        <is>
          <t>Analytical Chemistry by open learning</t>
        </is>
      </c>
      <c r="R1294" t="inlineStr">
        <is>
          <t xml:space="preserve">QD </t>
        </is>
      </c>
      <c r="S1294" t="n">
        <v>10</v>
      </c>
      <c r="T1294" t="n">
        <v>10</v>
      </c>
      <c r="U1294" t="inlineStr">
        <is>
          <t>2002-10-20</t>
        </is>
      </c>
      <c r="V1294" t="inlineStr">
        <is>
          <t>2002-10-20</t>
        </is>
      </c>
      <c r="W1294" t="inlineStr">
        <is>
          <t>1992-01-28</t>
        </is>
      </c>
      <c r="X1294" t="inlineStr">
        <is>
          <t>1992-01-28</t>
        </is>
      </c>
      <c r="Y1294" t="n">
        <v>485</v>
      </c>
      <c r="Z1294" t="n">
        <v>331</v>
      </c>
      <c r="AA1294" t="n">
        <v>337</v>
      </c>
      <c r="AB1294" t="n">
        <v>3</v>
      </c>
      <c r="AC1294" t="n">
        <v>3</v>
      </c>
      <c r="AD1294" t="n">
        <v>16</v>
      </c>
      <c r="AE1294" t="n">
        <v>16</v>
      </c>
      <c r="AF1294" t="n">
        <v>6</v>
      </c>
      <c r="AG1294" t="n">
        <v>6</v>
      </c>
      <c r="AH1294" t="n">
        <v>4</v>
      </c>
      <c r="AI1294" t="n">
        <v>4</v>
      </c>
      <c r="AJ1294" t="n">
        <v>8</v>
      </c>
      <c r="AK1294" t="n">
        <v>8</v>
      </c>
      <c r="AL1294" t="n">
        <v>2</v>
      </c>
      <c r="AM1294" t="n">
        <v>2</v>
      </c>
      <c r="AN1294" t="n">
        <v>0</v>
      </c>
      <c r="AO1294" t="n">
        <v>0</v>
      </c>
      <c r="AP1294" t="inlineStr">
        <is>
          <t>No</t>
        </is>
      </c>
      <c r="AQ1294" t="inlineStr">
        <is>
          <t>No</t>
        </is>
      </c>
      <c r="AS1294">
        <f>HYPERLINK("https://creighton-primo.hosted.exlibrisgroup.com/primo-explore/search?tab=default_tab&amp;search_scope=EVERYTHING&amp;vid=01CRU&amp;lang=en_US&amp;offset=0&amp;query=any,contains,991000967139702656","Catalog Record")</f>
        <v/>
      </c>
      <c r="AT1294">
        <f>HYPERLINK("http://www.worldcat.org/oclc/14930989","WorldCat Record")</f>
        <v/>
      </c>
      <c r="AU1294" t="inlineStr">
        <is>
          <t>4916948044:eng</t>
        </is>
      </c>
      <c r="AV1294" t="inlineStr">
        <is>
          <t>14930989</t>
        </is>
      </c>
      <c r="AW1294" t="inlineStr">
        <is>
          <t>991000967139702656</t>
        </is>
      </c>
      <c r="AX1294" t="inlineStr">
        <is>
          <t>991000967139702656</t>
        </is>
      </c>
      <c r="AY1294" t="inlineStr">
        <is>
          <t>2255801430002656</t>
        </is>
      </c>
      <c r="AZ1294" t="inlineStr">
        <is>
          <t>BOOK</t>
        </is>
      </c>
      <c r="BB1294" t="inlineStr">
        <is>
          <t>9780471913313</t>
        </is>
      </c>
      <c r="BC1294" t="inlineStr">
        <is>
          <t>32285000899277</t>
        </is>
      </c>
      <c r="BD1294" t="inlineStr">
        <is>
          <t>893515788</t>
        </is>
      </c>
    </row>
    <row r="1295">
      <c r="A1295" t="inlineStr">
        <is>
          <t>No</t>
        </is>
      </c>
      <c r="B1295" t="inlineStr">
        <is>
          <t>QD79.C453 H33 1990</t>
        </is>
      </c>
      <c r="C1295" t="inlineStr">
        <is>
          <t>0                      QD 0079000C  453                H  33          1990</t>
        </is>
      </c>
      <c r="D1295" t="inlineStr">
        <is>
          <t>Ion chromatography : principles and applications / Paul R. Haddad and Peter E. Jackson.</t>
        </is>
      </c>
      <c r="F1295" t="inlineStr">
        <is>
          <t>No</t>
        </is>
      </c>
      <c r="G1295" t="inlineStr">
        <is>
          <t>1</t>
        </is>
      </c>
      <c r="H1295" t="inlineStr">
        <is>
          <t>No</t>
        </is>
      </c>
      <c r="I1295" t="inlineStr">
        <is>
          <t>No</t>
        </is>
      </c>
      <c r="J1295" t="inlineStr">
        <is>
          <t>0</t>
        </is>
      </c>
      <c r="K1295" t="inlineStr">
        <is>
          <t>Haddad, Paul R.</t>
        </is>
      </c>
      <c r="L1295" t="inlineStr">
        <is>
          <t>Amsterdam, Netherlands ; New York : Elsevier ; New York, NY, USA : Distributors for the U.S. and Canada, Elsevier Science Pub. Co., c1990.</t>
        </is>
      </c>
      <c r="M1295" t="inlineStr">
        <is>
          <t>1990</t>
        </is>
      </c>
      <c r="O1295" t="inlineStr">
        <is>
          <t>eng</t>
        </is>
      </c>
      <c r="P1295" t="inlineStr">
        <is>
          <t xml:space="preserve">ne </t>
        </is>
      </c>
      <c r="Q1295" t="inlineStr">
        <is>
          <t>Journal of chromatography library ; v. 46</t>
        </is>
      </c>
      <c r="R1295" t="inlineStr">
        <is>
          <t xml:space="preserve">QD </t>
        </is>
      </c>
      <c r="S1295" t="n">
        <v>7</v>
      </c>
      <c r="T1295" t="n">
        <v>7</v>
      </c>
      <c r="U1295" t="inlineStr">
        <is>
          <t>1996-11-06</t>
        </is>
      </c>
      <c r="V1295" t="inlineStr">
        <is>
          <t>1996-11-06</t>
        </is>
      </c>
      <c r="W1295" t="inlineStr">
        <is>
          <t>1991-03-22</t>
        </is>
      </c>
      <c r="X1295" t="inlineStr">
        <is>
          <t>1991-03-22</t>
        </is>
      </c>
      <c r="Y1295" t="n">
        <v>259</v>
      </c>
      <c r="Z1295" t="n">
        <v>136</v>
      </c>
      <c r="AA1295" t="n">
        <v>183</v>
      </c>
      <c r="AB1295" t="n">
        <v>1</v>
      </c>
      <c r="AC1295" t="n">
        <v>2</v>
      </c>
      <c r="AD1295" t="n">
        <v>5</v>
      </c>
      <c r="AE1295" t="n">
        <v>8</v>
      </c>
      <c r="AF1295" t="n">
        <v>1</v>
      </c>
      <c r="AG1295" t="n">
        <v>2</v>
      </c>
      <c r="AH1295" t="n">
        <v>2</v>
      </c>
      <c r="AI1295" t="n">
        <v>3</v>
      </c>
      <c r="AJ1295" t="n">
        <v>4</v>
      </c>
      <c r="AK1295" t="n">
        <v>4</v>
      </c>
      <c r="AL1295" t="n">
        <v>0</v>
      </c>
      <c r="AM1295" t="n">
        <v>1</v>
      </c>
      <c r="AN1295" t="n">
        <v>0</v>
      </c>
      <c r="AO1295" t="n">
        <v>0</v>
      </c>
      <c r="AP1295" t="inlineStr">
        <is>
          <t>No</t>
        </is>
      </c>
      <c r="AQ1295" t="inlineStr">
        <is>
          <t>No</t>
        </is>
      </c>
      <c r="AS1295">
        <f>HYPERLINK("https://creighton-primo.hosted.exlibrisgroup.com/primo-explore/search?tab=default_tab&amp;search_scope=EVERYTHING&amp;vid=01CRU&amp;lang=en_US&amp;offset=0&amp;query=any,contains,991001695509702656","Catalog Record")</f>
        <v/>
      </c>
      <c r="AT1295">
        <f>HYPERLINK("http://www.worldcat.org/oclc/21483153","WorldCat Record")</f>
        <v/>
      </c>
      <c r="AU1295" t="inlineStr">
        <is>
          <t>800935125:eng</t>
        </is>
      </c>
      <c r="AV1295" t="inlineStr">
        <is>
          <t>21483153</t>
        </is>
      </c>
      <c r="AW1295" t="inlineStr">
        <is>
          <t>991001695509702656</t>
        </is>
      </c>
      <c r="AX1295" t="inlineStr">
        <is>
          <t>991001695509702656</t>
        </is>
      </c>
      <c r="AY1295" t="inlineStr">
        <is>
          <t>2261734690002656</t>
        </is>
      </c>
      <c r="AZ1295" t="inlineStr">
        <is>
          <t>BOOK</t>
        </is>
      </c>
      <c r="BB1295" t="inlineStr">
        <is>
          <t>9780444882325</t>
        </is>
      </c>
      <c r="BC1295" t="inlineStr">
        <is>
          <t>32285000513183</t>
        </is>
      </c>
      <c r="BD1295" t="inlineStr">
        <is>
          <t>893509834</t>
        </is>
      </c>
    </row>
    <row r="1296">
      <c r="A1296" t="inlineStr">
        <is>
          <t>No</t>
        </is>
      </c>
      <c r="B1296" t="inlineStr">
        <is>
          <t>QD79.C453 S63 1989</t>
        </is>
      </c>
      <c r="C1296" t="inlineStr">
        <is>
          <t>0                      QD 0079000C  453                S  63          1989</t>
        </is>
      </c>
      <c r="D1296" t="inlineStr">
        <is>
          <t>Ion chromatography / Hamish Small.</t>
        </is>
      </c>
      <c r="F1296" t="inlineStr">
        <is>
          <t>No</t>
        </is>
      </c>
      <c r="G1296" t="inlineStr">
        <is>
          <t>1</t>
        </is>
      </c>
      <c r="H1296" t="inlineStr">
        <is>
          <t>No</t>
        </is>
      </c>
      <c r="I1296" t="inlineStr">
        <is>
          <t>No</t>
        </is>
      </c>
      <c r="J1296" t="inlineStr">
        <is>
          <t>0</t>
        </is>
      </c>
      <c r="K1296" t="inlineStr">
        <is>
          <t>Small, Hamish.</t>
        </is>
      </c>
      <c r="L1296" t="inlineStr">
        <is>
          <t>New York : Plenum Press, c1989.</t>
        </is>
      </c>
      <c r="M1296" t="inlineStr">
        <is>
          <t>1989</t>
        </is>
      </c>
      <c r="O1296" t="inlineStr">
        <is>
          <t>eng</t>
        </is>
      </c>
      <c r="P1296" t="inlineStr">
        <is>
          <t>nyu</t>
        </is>
      </c>
      <c r="Q1296" t="inlineStr">
        <is>
          <t>Modern analytical chemistry</t>
        </is>
      </c>
      <c r="R1296" t="inlineStr">
        <is>
          <t xml:space="preserve">QD </t>
        </is>
      </c>
      <c r="S1296" t="n">
        <v>2</v>
      </c>
      <c r="T1296" t="n">
        <v>2</v>
      </c>
      <c r="U1296" t="inlineStr">
        <is>
          <t>1996-11-06</t>
        </is>
      </c>
      <c r="V1296" t="inlineStr">
        <is>
          <t>1996-11-06</t>
        </is>
      </c>
      <c r="W1296" t="inlineStr">
        <is>
          <t>1995-03-07</t>
        </is>
      </c>
      <c r="X1296" t="inlineStr">
        <is>
          <t>1995-03-07</t>
        </is>
      </c>
      <c r="Y1296" t="n">
        <v>426</v>
      </c>
      <c r="Z1296" t="n">
        <v>302</v>
      </c>
      <c r="AA1296" t="n">
        <v>318</v>
      </c>
      <c r="AB1296" t="n">
        <v>3</v>
      </c>
      <c r="AC1296" t="n">
        <v>3</v>
      </c>
      <c r="AD1296" t="n">
        <v>15</v>
      </c>
      <c r="AE1296" t="n">
        <v>16</v>
      </c>
      <c r="AF1296" t="n">
        <v>6</v>
      </c>
      <c r="AG1296" t="n">
        <v>7</v>
      </c>
      <c r="AH1296" t="n">
        <v>2</v>
      </c>
      <c r="AI1296" t="n">
        <v>2</v>
      </c>
      <c r="AJ1296" t="n">
        <v>9</v>
      </c>
      <c r="AK1296" t="n">
        <v>10</v>
      </c>
      <c r="AL1296" t="n">
        <v>2</v>
      </c>
      <c r="AM1296" t="n">
        <v>2</v>
      </c>
      <c r="AN1296" t="n">
        <v>0</v>
      </c>
      <c r="AO1296" t="n">
        <v>0</v>
      </c>
      <c r="AP1296" t="inlineStr">
        <is>
          <t>No</t>
        </is>
      </c>
      <c r="AQ1296" t="inlineStr">
        <is>
          <t>No</t>
        </is>
      </c>
      <c r="AS1296">
        <f>HYPERLINK("https://creighton-primo.hosted.exlibrisgroup.com/primo-explore/search?tab=default_tab&amp;search_scope=EVERYTHING&amp;vid=01CRU&amp;lang=en_US&amp;offset=0&amp;query=any,contains,991001567539702656","Catalog Record")</f>
        <v/>
      </c>
      <c r="AT1296">
        <f>HYPERLINK("http://www.worldcat.org/oclc/20355105","WorldCat Record")</f>
        <v/>
      </c>
      <c r="AU1296" t="inlineStr">
        <is>
          <t>22017997:eng</t>
        </is>
      </c>
      <c r="AV1296" t="inlineStr">
        <is>
          <t>20355105</t>
        </is>
      </c>
      <c r="AW1296" t="inlineStr">
        <is>
          <t>991001567539702656</t>
        </is>
      </c>
      <c r="AX1296" t="inlineStr">
        <is>
          <t>991001567539702656</t>
        </is>
      </c>
      <c r="AY1296" t="inlineStr">
        <is>
          <t>2269508980002656</t>
        </is>
      </c>
      <c r="AZ1296" t="inlineStr">
        <is>
          <t>BOOK</t>
        </is>
      </c>
      <c r="BB1296" t="inlineStr">
        <is>
          <t>9780306432903</t>
        </is>
      </c>
      <c r="BC1296" t="inlineStr">
        <is>
          <t>32285002001393</t>
        </is>
      </c>
      <c r="BD1296" t="inlineStr">
        <is>
          <t>893703092</t>
        </is>
      </c>
    </row>
    <row r="1297">
      <c r="A1297" t="inlineStr">
        <is>
          <t>No</t>
        </is>
      </c>
      <c r="B1297" t="inlineStr">
        <is>
          <t>QD79.C453 W35 1990</t>
        </is>
      </c>
      <c r="C1297" t="inlineStr">
        <is>
          <t>0                      QD 0079000C  453                W  35          1990</t>
        </is>
      </c>
      <c r="D1297" t="inlineStr">
        <is>
          <t>Ion exchange in analytical chemistry / authors, Harold F. Walton and Roy D. Rocklin.</t>
        </is>
      </c>
      <c r="F1297" t="inlineStr">
        <is>
          <t>No</t>
        </is>
      </c>
      <c r="G1297" t="inlineStr">
        <is>
          <t>1</t>
        </is>
      </c>
      <c r="H1297" t="inlineStr">
        <is>
          <t>No</t>
        </is>
      </c>
      <c r="I1297" t="inlineStr">
        <is>
          <t>No</t>
        </is>
      </c>
      <c r="J1297" t="inlineStr">
        <is>
          <t>0</t>
        </is>
      </c>
      <c r="K1297" t="inlineStr">
        <is>
          <t>Walton, Harold F. (Harold Frederic), 1912-2002.</t>
        </is>
      </c>
      <c r="L1297" t="inlineStr">
        <is>
          <t>Boca Raton, Fla. : CRC Press, c1990.</t>
        </is>
      </c>
      <c r="M1297" t="inlineStr">
        <is>
          <t>1990</t>
        </is>
      </c>
      <c r="O1297" t="inlineStr">
        <is>
          <t>eng</t>
        </is>
      </c>
      <c r="P1297" t="inlineStr">
        <is>
          <t>flu</t>
        </is>
      </c>
      <c r="R1297" t="inlineStr">
        <is>
          <t xml:space="preserve">QD </t>
        </is>
      </c>
      <c r="S1297" t="n">
        <v>2</v>
      </c>
      <c r="T1297" t="n">
        <v>2</v>
      </c>
      <c r="U1297" t="inlineStr">
        <is>
          <t>1996-11-06</t>
        </is>
      </c>
      <c r="V1297" t="inlineStr">
        <is>
          <t>1996-11-06</t>
        </is>
      </c>
      <c r="W1297" t="inlineStr">
        <is>
          <t>1995-01-20</t>
        </is>
      </c>
      <c r="X1297" t="inlineStr">
        <is>
          <t>1995-01-20</t>
        </is>
      </c>
      <c r="Y1297" t="n">
        <v>448</v>
      </c>
      <c r="Z1297" t="n">
        <v>371</v>
      </c>
      <c r="AA1297" t="n">
        <v>570</v>
      </c>
      <c r="AB1297" t="n">
        <v>5</v>
      </c>
      <c r="AC1297" t="n">
        <v>5</v>
      </c>
      <c r="AD1297" t="n">
        <v>19</v>
      </c>
      <c r="AE1297" t="n">
        <v>22</v>
      </c>
      <c r="AF1297" t="n">
        <v>7</v>
      </c>
      <c r="AG1297" t="n">
        <v>9</v>
      </c>
      <c r="AH1297" t="n">
        <v>4</v>
      </c>
      <c r="AI1297" t="n">
        <v>6</v>
      </c>
      <c r="AJ1297" t="n">
        <v>9</v>
      </c>
      <c r="AK1297" t="n">
        <v>9</v>
      </c>
      <c r="AL1297" t="n">
        <v>4</v>
      </c>
      <c r="AM1297" t="n">
        <v>4</v>
      </c>
      <c r="AN1297" t="n">
        <v>0</v>
      </c>
      <c r="AO1297" t="n">
        <v>0</v>
      </c>
      <c r="AP1297" t="inlineStr">
        <is>
          <t>No</t>
        </is>
      </c>
      <c r="AQ1297" t="inlineStr">
        <is>
          <t>Yes</t>
        </is>
      </c>
      <c r="AR1297">
        <f>HYPERLINK("http://catalog.hathitrust.org/Record/002183717","HathiTrust Record")</f>
        <v/>
      </c>
      <c r="AS1297">
        <f>HYPERLINK("https://creighton-primo.hosted.exlibrisgroup.com/primo-explore/search?tab=default_tab&amp;search_scope=EVERYTHING&amp;vid=01CRU&amp;lang=en_US&amp;offset=0&amp;query=any,contains,991001618289702656","Catalog Record")</f>
        <v/>
      </c>
      <c r="AT1297">
        <f>HYPERLINK("http://www.worldcat.org/oclc/20799974","WorldCat Record")</f>
        <v/>
      </c>
      <c r="AU1297" t="inlineStr">
        <is>
          <t>1243697:eng</t>
        </is>
      </c>
      <c r="AV1297" t="inlineStr">
        <is>
          <t>20799974</t>
        </is>
      </c>
      <c r="AW1297" t="inlineStr">
        <is>
          <t>991001618289702656</t>
        </is>
      </c>
      <c r="AX1297" t="inlineStr">
        <is>
          <t>991001618289702656</t>
        </is>
      </c>
      <c r="AY1297" t="inlineStr">
        <is>
          <t>2263670770002656</t>
        </is>
      </c>
      <c r="AZ1297" t="inlineStr">
        <is>
          <t>BOOK</t>
        </is>
      </c>
      <c r="BB1297" t="inlineStr">
        <is>
          <t>9780849361999</t>
        </is>
      </c>
      <c r="BC1297" t="inlineStr">
        <is>
          <t>32285001993806</t>
        </is>
      </c>
      <c r="BD1297" t="inlineStr">
        <is>
          <t>893522681</t>
        </is>
      </c>
    </row>
    <row r="1298">
      <c r="A1298" t="inlineStr">
        <is>
          <t>No</t>
        </is>
      </c>
      <c r="B1298" t="inlineStr">
        <is>
          <t>QD79.C454 J63</t>
        </is>
      </c>
      <c r="C1298" t="inlineStr">
        <is>
          <t>0                      QD 0079000C  454                J  63</t>
        </is>
      </c>
      <c r="D1298" t="inlineStr">
        <is>
          <t>Basic liquid chromatography / by Edward L. Johnson and Robert Stevenson.</t>
        </is>
      </c>
      <c r="F1298" t="inlineStr">
        <is>
          <t>No</t>
        </is>
      </c>
      <c r="G1298" t="inlineStr">
        <is>
          <t>1</t>
        </is>
      </c>
      <c r="H1298" t="inlineStr">
        <is>
          <t>No</t>
        </is>
      </c>
      <c r="I1298" t="inlineStr">
        <is>
          <t>No</t>
        </is>
      </c>
      <c r="J1298" t="inlineStr">
        <is>
          <t>0</t>
        </is>
      </c>
      <c r="K1298" t="inlineStr">
        <is>
          <t>Johnson, Edward Lee, 1942-</t>
        </is>
      </c>
      <c r="L1298" t="inlineStr">
        <is>
          <t>Palo Alto, Calif. : Varian, c1978.</t>
        </is>
      </c>
      <c r="M1298" t="inlineStr">
        <is>
          <t>1978</t>
        </is>
      </c>
      <c r="O1298" t="inlineStr">
        <is>
          <t>eng</t>
        </is>
      </c>
      <c r="P1298" t="inlineStr">
        <is>
          <t>cau</t>
        </is>
      </c>
      <c r="R1298" t="inlineStr">
        <is>
          <t xml:space="preserve">QD </t>
        </is>
      </c>
      <c r="S1298" t="n">
        <v>3</v>
      </c>
      <c r="T1298" t="n">
        <v>3</v>
      </c>
      <c r="U1298" t="inlineStr">
        <is>
          <t>1999-08-03</t>
        </is>
      </c>
      <c r="V1298" t="inlineStr">
        <is>
          <t>1999-08-03</t>
        </is>
      </c>
      <c r="W1298" t="inlineStr">
        <is>
          <t>1993-02-10</t>
        </is>
      </c>
      <c r="X1298" t="inlineStr">
        <is>
          <t>1993-02-10</t>
        </is>
      </c>
      <c r="Y1298" t="n">
        <v>285</v>
      </c>
      <c r="Z1298" t="n">
        <v>215</v>
      </c>
      <c r="AA1298" t="n">
        <v>221</v>
      </c>
      <c r="AB1298" t="n">
        <v>1</v>
      </c>
      <c r="AC1298" t="n">
        <v>1</v>
      </c>
      <c r="AD1298" t="n">
        <v>4</v>
      </c>
      <c r="AE1298" t="n">
        <v>4</v>
      </c>
      <c r="AF1298" t="n">
        <v>0</v>
      </c>
      <c r="AG1298" t="n">
        <v>0</v>
      </c>
      <c r="AH1298" t="n">
        <v>2</v>
      </c>
      <c r="AI1298" t="n">
        <v>2</v>
      </c>
      <c r="AJ1298" t="n">
        <v>3</v>
      </c>
      <c r="AK1298" t="n">
        <v>3</v>
      </c>
      <c r="AL1298" t="n">
        <v>0</v>
      </c>
      <c r="AM1298" t="n">
        <v>0</v>
      </c>
      <c r="AN1298" t="n">
        <v>0</v>
      </c>
      <c r="AO1298" t="n">
        <v>0</v>
      </c>
      <c r="AP1298" t="inlineStr">
        <is>
          <t>No</t>
        </is>
      </c>
      <c r="AQ1298" t="inlineStr">
        <is>
          <t>Yes</t>
        </is>
      </c>
      <c r="AR1298">
        <f>HYPERLINK("http://catalog.hathitrust.org/Record/000273900","HathiTrust Record")</f>
        <v/>
      </c>
      <c r="AS1298">
        <f>HYPERLINK("https://creighton-primo.hosted.exlibrisgroup.com/primo-explore/search?tab=default_tab&amp;search_scope=EVERYTHING&amp;vid=01CRU&amp;lang=en_US&amp;offset=0&amp;query=any,contains,991004599819702656","Catalog Record")</f>
        <v/>
      </c>
      <c r="AT1298">
        <f>HYPERLINK("http://www.worldcat.org/oclc/4165894","WorldCat Record")</f>
        <v/>
      </c>
      <c r="AU1298" t="inlineStr">
        <is>
          <t>14525081:eng</t>
        </is>
      </c>
      <c r="AV1298" t="inlineStr">
        <is>
          <t>4165894</t>
        </is>
      </c>
      <c r="AW1298" t="inlineStr">
        <is>
          <t>991004599819702656</t>
        </is>
      </c>
      <c r="AX1298" t="inlineStr">
        <is>
          <t>991004599819702656</t>
        </is>
      </c>
      <c r="AY1298" t="inlineStr">
        <is>
          <t>2269091330002656</t>
        </is>
      </c>
      <c r="AZ1298" t="inlineStr">
        <is>
          <t>BOOK</t>
        </is>
      </c>
      <c r="BC1298" t="inlineStr">
        <is>
          <t>32285001509164</t>
        </is>
      </c>
      <c r="BD1298" t="inlineStr">
        <is>
          <t>893325541</t>
        </is>
      </c>
    </row>
    <row r="1299">
      <c r="A1299" t="inlineStr">
        <is>
          <t>No</t>
        </is>
      </c>
      <c r="B1299" t="inlineStr">
        <is>
          <t>QD79.T38 B76 1988</t>
        </is>
      </c>
      <c r="C1299" t="inlineStr">
        <is>
          <t>0                      QD 0079000T  38                 B  76          1988</t>
        </is>
      </c>
      <c r="D1299" t="inlineStr">
        <is>
          <t>Introduction to thermal analysis : techniques and applications / Michael E. Brown.</t>
        </is>
      </c>
      <c r="F1299" t="inlineStr">
        <is>
          <t>No</t>
        </is>
      </c>
      <c r="G1299" t="inlineStr">
        <is>
          <t>1</t>
        </is>
      </c>
      <c r="H1299" t="inlineStr">
        <is>
          <t>No</t>
        </is>
      </c>
      <c r="I1299" t="inlineStr">
        <is>
          <t>No</t>
        </is>
      </c>
      <c r="J1299" t="inlineStr">
        <is>
          <t>0</t>
        </is>
      </c>
      <c r="K1299" t="inlineStr">
        <is>
          <t>Brown, Michael E., 1938-</t>
        </is>
      </c>
      <c r="L1299" t="inlineStr">
        <is>
          <t>London ; New York : Chapman and Hall, 1988.</t>
        </is>
      </c>
      <c r="M1299" t="inlineStr">
        <is>
          <t>1988</t>
        </is>
      </c>
      <c r="O1299" t="inlineStr">
        <is>
          <t>eng</t>
        </is>
      </c>
      <c r="P1299" t="inlineStr">
        <is>
          <t>enk</t>
        </is>
      </c>
      <c r="R1299" t="inlineStr">
        <is>
          <t xml:space="preserve">QD </t>
        </is>
      </c>
      <c r="S1299" t="n">
        <v>11</v>
      </c>
      <c r="T1299" t="n">
        <v>11</v>
      </c>
      <c r="U1299" t="inlineStr">
        <is>
          <t>2007-03-14</t>
        </is>
      </c>
      <c r="V1299" t="inlineStr">
        <is>
          <t>2007-03-14</t>
        </is>
      </c>
      <c r="W1299" t="inlineStr">
        <is>
          <t>1991-03-11</t>
        </is>
      </c>
      <c r="X1299" t="inlineStr">
        <is>
          <t>1991-03-11</t>
        </is>
      </c>
      <c r="Y1299" t="n">
        <v>324</v>
      </c>
      <c r="Z1299" t="n">
        <v>197</v>
      </c>
      <c r="AA1299" t="n">
        <v>374</v>
      </c>
      <c r="AB1299" t="n">
        <v>1</v>
      </c>
      <c r="AC1299" t="n">
        <v>2</v>
      </c>
      <c r="AD1299" t="n">
        <v>6</v>
      </c>
      <c r="AE1299" t="n">
        <v>15</v>
      </c>
      <c r="AF1299" t="n">
        <v>0</v>
      </c>
      <c r="AG1299" t="n">
        <v>3</v>
      </c>
      <c r="AH1299" t="n">
        <v>3</v>
      </c>
      <c r="AI1299" t="n">
        <v>6</v>
      </c>
      <c r="AJ1299" t="n">
        <v>5</v>
      </c>
      <c r="AK1299" t="n">
        <v>10</v>
      </c>
      <c r="AL1299" t="n">
        <v>0</v>
      </c>
      <c r="AM1299" t="n">
        <v>1</v>
      </c>
      <c r="AN1299" t="n">
        <v>0</v>
      </c>
      <c r="AO1299" t="n">
        <v>0</v>
      </c>
      <c r="AP1299" t="inlineStr">
        <is>
          <t>No</t>
        </is>
      </c>
      <c r="AQ1299" t="inlineStr">
        <is>
          <t>Yes</t>
        </is>
      </c>
      <c r="AR1299">
        <f>HYPERLINK("http://catalog.hathitrust.org/Record/001100073","HathiTrust Record")</f>
        <v/>
      </c>
      <c r="AS1299">
        <f>HYPERLINK("https://creighton-primo.hosted.exlibrisgroup.com/primo-explore/search?tab=default_tab&amp;search_scope=EVERYTHING&amp;vid=01CRU&amp;lang=en_US&amp;offset=0&amp;query=any,contains,991001166799702656","Catalog Record")</f>
        <v/>
      </c>
      <c r="AT1299">
        <f>HYPERLINK("http://www.worldcat.org/oclc/16924266","WorldCat Record")</f>
        <v/>
      </c>
      <c r="AU1299" t="inlineStr">
        <is>
          <t>800908409:eng</t>
        </is>
      </c>
      <c r="AV1299" t="inlineStr">
        <is>
          <t>16924266</t>
        </is>
      </c>
      <c r="AW1299" t="inlineStr">
        <is>
          <t>991001166799702656</t>
        </is>
      </c>
      <c r="AX1299" t="inlineStr">
        <is>
          <t>991001166799702656</t>
        </is>
      </c>
      <c r="AY1299" t="inlineStr">
        <is>
          <t>2271154550002656</t>
        </is>
      </c>
      <c r="AZ1299" t="inlineStr">
        <is>
          <t>BOOK</t>
        </is>
      </c>
      <c r="BB1299" t="inlineStr">
        <is>
          <t>9780412302305</t>
        </is>
      </c>
      <c r="BC1299" t="inlineStr">
        <is>
          <t>32285000494269</t>
        </is>
      </c>
      <c r="BD1299" t="inlineStr">
        <is>
          <t>893432644</t>
        </is>
      </c>
    </row>
    <row r="1300">
      <c r="A1300" t="inlineStr">
        <is>
          <t>No</t>
        </is>
      </c>
      <c r="B1300" t="inlineStr">
        <is>
          <t>QD79.T38 W45 1964</t>
        </is>
      </c>
      <c r="C1300" t="inlineStr">
        <is>
          <t>0                      QD 0079000T  38                 W  45          1964</t>
        </is>
      </c>
      <c r="D1300" t="inlineStr">
        <is>
          <t>Thermal methods of analysis [by] Wesley Wm. Wendlandt.</t>
        </is>
      </c>
      <c r="F1300" t="inlineStr">
        <is>
          <t>No</t>
        </is>
      </c>
      <c r="G1300" t="inlineStr">
        <is>
          <t>1</t>
        </is>
      </c>
      <c r="H1300" t="inlineStr">
        <is>
          <t>No</t>
        </is>
      </c>
      <c r="I1300" t="inlineStr">
        <is>
          <t>No</t>
        </is>
      </c>
      <c r="J1300" t="inlineStr">
        <is>
          <t>0</t>
        </is>
      </c>
      <c r="K1300" t="inlineStr">
        <is>
          <t>Wendlandt, Wesley William.</t>
        </is>
      </c>
      <c r="L1300" t="inlineStr">
        <is>
          <t>New York, Interscience Publishers, 1964.</t>
        </is>
      </c>
      <c r="M1300" t="inlineStr">
        <is>
          <t>1964</t>
        </is>
      </c>
      <c r="O1300" t="inlineStr">
        <is>
          <t>eng</t>
        </is>
      </c>
      <c r="P1300" t="inlineStr">
        <is>
          <t>nyu</t>
        </is>
      </c>
      <c r="Q1300" t="inlineStr">
        <is>
          <t>Chemical analysis ; v. 19</t>
        </is>
      </c>
      <c r="R1300" t="inlineStr">
        <is>
          <t xml:space="preserve">QD </t>
        </is>
      </c>
      <c r="S1300" t="n">
        <v>3</v>
      </c>
      <c r="T1300" t="n">
        <v>3</v>
      </c>
      <c r="U1300" t="inlineStr">
        <is>
          <t>2006-12-20</t>
        </is>
      </c>
      <c r="V1300" t="inlineStr">
        <is>
          <t>2006-12-20</t>
        </is>
      </c>
      <c r="W1300" t="inlineStr">
        <is>
          <t>1997-05-29</t>
        </is>
      </c>
      <c r="X1300" t="inlineStr">
        <is>
          <t>1997-05-29</t>
        </is>
      </c>
      <c r="Y1300" t="n">
        <v>503</v>
      </c>
      <c r="Z1300" t="n">
        <v>374</v>
      </c>
      <c r="AA1300" t="n">
        <v>600</v>
      </c>
      <c r="AB1300" t="n">
        <v>2</v>
      </c>
      <c r="AC1300" t="n">
        <v>5</v>
      </c>
      <c r="AD1300" t="n">
        <v>13</v>
      </c>
      <c r="AE1300" t="n">
        <v>28</v>
      </c>
      <c r="AF1300" t="n">
        <v>3</v>
      </c>
      <c r="AG1300" t="n">
        <v>11</v>
      </c>
      <c r="AH1300" t="n">
        <v>4</v>
      </c>
      <c r="AI1300" t="n">
        <v>7</v>
      </c>
      <c r="AJ1300" t="n">
        <v>9</v>
      </c>
      <c r="AK1300" t="n">
        <v>14</v>
      </c>
      <c r="AL1300" t="n">
        <v>1</v>
      </c>
      <c r="AM1300" t="n">
        <v>4</v>
      </c>
      <c r="AN1300" t="n">
        <v>0</v>
      </c>
      <c r="AO1300" t="n">
        <v>0</v>
      </c>
      <c r="AP1300" t="inlineStr">
        <is>
          <t>No</t>
        </is>
      </c>
      <c r="AQ1300" t="inlineStr">
        <is>
          <t>No</t>
        </is>
      </c>
      <c r="AS1300">
        <f>HYPERLINK("https://creighton-primo.hosted.exlibrisgroup.com/primo-explore/search?tab=default_tab&amp;search_scope=EVERYTHING&amp;vid=01CRU&amp;lang=en_US&amp;offset=0&amp;query=any,contains,991002965859702656","Catalog Record")</f>
        <v/>
      </c>
      <c r="AT1300">
        <f>HYPERLINK("http://www.worldcat.org/oclc/545787","WorldCat Record")</f>
        <v/>
      </c>
      <c r="AU1300" t="inlineStr">
        <is>
          <t>5091069667:eng</t>
        </is>
      </c>
      <c r="AV1300" t="inlineStr">
        <is>
          <t>545787</t>
        </is>
      </c>
      <c r="AW1300" t="inlineStr">
        <is>
          <t>991002965859702656</t>
        </is>
      </c>
      <c r="AX1300" t="inlineStr">
        <is>
          <t>991002965859702656</t>
        </is>
      </c>
      <c r="AY1300" t="inlineStr">
        <is>
          <t>2264592030002656</t>
        </is>
      </c>
      <c r="AZ1300" t="inlineStr">
        <is>
          <t>BOOK</t>
        </is>
      </c>
      <c r="BC1300" t="inlineStr">
        <is>
          <t>32285002778214</t>
        </is>
      </c>
      <c r="BD1300" t="inlineStr">
        <is>
          <t>893227503</t>
        </is>
      </c>
    </row>
    <row r="1301">
      <c r="A1301" t="inlineStr">
        <is>
          <t>No</t>
        </is>
      </c>
      <c r="B1301" t="inlineStr">
        <is>
          <t>QD8.3 .C66 1985</t>
        </is>
      </c>
      <c r="C1301" t="inlineStr">
        <is>
          <t>0                      QD 0008300C  66          1985</t>
        </is>
      </c>
      <c r="D1301" t="inlineStr">
        <is>
          <t>Communication, storage, and retrieval of chemical information / Janet E. Ash ... [et al.].</t>
        </is>
      </c>
      <c r="F1301" t="inlineStr">
        <is>
          <t>No</t>
        </is>
      </c>
      <c r="G1301" t="inlineStr">
        <is>
          <t>1</t>
        </is>
      </c>
      <c r="H1301" t="inlineStr">
        <is>
          <t>No</t>
        </is>
      </c>
      <c r="I1301" t="inlineStr">
        <is>
          <t>No</t>
        </is>
      </c>
      <c r="J1301" t="inlineStr">
        <is>
          <t>0</t>
        </is>
      </c>
      <c r="L1301" t="inlineStr">
        <is>
          <t>Chichester, West Sussex, England : E. Horwood ; Chichester ; New York : Halsted Press, 1985.</t>
        </is>
      </c>
      <c r="M1301" t="inlineStr">
        <is>
          <t>1985</t>
        </is>
      </c>
      <c r="O1301" t="inlineStr">
        <is>
          <t>eng</t>
        </is>
      </c>
      <c r="P1301" t="inlineStr">
        <is>
          <t>enk</t>
        </is>
      </c>
      <c r="Q1301" t="inlineStr">
        <is>
          <t>Ellis Horwood series, chemical science</t>
        </is>
      </c>
      <c r="R1301" t="inlineStr">
        <is>
          <t xml:space="preserve">QD </t>
        </is>
      </c>
      <c r="S1301" t="n">
        <v>2</v>
      </c>
      <c r="T1301" t="n">
        <v>2</v>
      </c>
      <c r="U1301" t="inlineStr">
        <is>
          <t>1994-01-28</t>
        </is>
      </c>
      <c r="V1301" t="inlineStr">
        <is>
          <t>1994-01-28</t>
        </is>
      </c>
      <c r="W1301" t="inlineStr">
        <is>
          <t>1993-01-14</t>
        </is>
      </c>
      <c r="X1301" t="inlineStr">
        <is>
          <t>1993-01-14</t>
        </is>
      </c>
      <c r="Y1301" t="n">
        <v>331</v>
      </c>
      <c r="Z1301" t="n">
        <v>238</v>
      </c>
      <c r="AA1301" t="n">
        <v>245</v>
      </c>
      <c r="AB1301" t="n">
        <v>2</v>
      </c>
      <c r="AC1301" t="n">
        <v>2</v>
      </c>
      <c r="AD1301" t="n">
        <v>8</v>
      </c>
      <c r="AE1301" t="n">
        <v>8</v>
      </c>
      <c r="AF1301" t="n">
        <v>2</v>
      </c>
      <c r="AG1301" t="n">
        <v>2</v>
      </c>
      <c r="AH1301" t="n">
        <v>3</v>
      </c>
      <c r="AI1301" t="n">
        <v>3</v>
      </c>
      <c r="AJ1301" t="n">
        <v>4</v>
      </c>
      <c r="AK1301" t="n">
        <v>4</v>
      </c>
      <c r="AL1301" t="n">
        <v>1</v>
      </c>
      <c r="AM1301" t="n">
        <v>1</v>
      </c>
      <c r="AN1301" t="n">
        <v>0</v>
      </c>
      <c r="AO1301" t="n">
        <v>0</v>
      </c>
      <c r="AP1301" t="inlineStr">
        <is>
          <t>No</t>
        </is>
      </c>
      <c r="AQ1301" t="inlineStr">
        <is>
          <t>Yes</t>
        </is>
      </c>
      <c r="AR1301">
        <f>HYPERLINK("http://catalog.hathitrust.org/Record/000655319","HathiTrust Record")</f>
        <v/>
      </c>
      <c r="AS1301">
        <f>HYPERLINK("https://creighton-primo.hosted.exlibrisgroup.com/primo-explore/search?tab=default_tab&amp;search_scope=EVERYTHING&amp;vid=01CRU&amp;lang=en_US&amp;offset=0&amp;query=any,contains,991000527749702656","Catalog Record")</f>
        <v/>
      </c>
      <c r="AT1301">
        <f>HYPERLINK("http://www.worldcat.org/oclc/11371897","WorldCat Record")</f>
        <v/>
      </c>
      <c r="AU1301" t="inlineStr">
        <is>
          <t>3935846:eng</t>
        </is>
      </c>
      <c r="AV1301" t="inlineStr">
        <is>
          <t>11371897</t>
        </is>
      </c>
      <c r="AW1301" t="inlineStr">
        <is>
          <t>991000527749702656</t>
        </is>
      </c>
      <c r="AX1301" t="inlineStr">
        <is>
          <t>991000527749702656</t>
        </is>
      </c>
      <c r="AY1301" t="inlineStr">
        <is>
          <t>2259148530002656</t>
        </is>
      </c>
      <c r="AZ1301" t="inlineStr">
        <is>
          <t>BOOK</t>
        </is>
      </c>
      <c r="BB1301" t="inlineStr">
        <is>
          <t>9780470201459</t>
        </is>
      </c>
      <c r="BC1301" t="inlineStr">
        <is>
          <t>32285001399418</t>
        </is>
      </c>
      <c r="BD1301" t="inlineStr">
        <is>
          <t>893419545</t>
        </is>
      </c>
    </row>
    <row r="1302">
      <c r="A1302" t="inlineStr">
        <is>
          <t>No</t>
        </is>
      </c>
      <c r="B1302" t="inlineStr">
        <is>
          <t>QD9.15 .E23 2004</t>
        </is>
      </c>
      <c r="C1302" t="inlineStr">
        <is>
          <t>0                      QD 0009150E  23          2004</t>
        </is>
      </c>
      <c r="D1302" t="inlineStr">
        <is>
          <t>The art of scientific writing : from student reports to professional publications in chemistry and related fields / Hans F. Ebel, Claus Bliefert and William E. Russey.</t>
        </is>
      </c>
      <c r="F1302" t="inlineStr">
        <is>
          <t>No</t>
        </is>
      </c>
      <c r="G1302" t="inlineStr">
        <is>
          <t>1</t>
        </is>
      </c>
      <c r="H1302" t="inlineStr">
        <is>
          <t>No</t>
        </is>
      </c>
      <c r="I1302" t="inlineStr">
        <is>
          <t>No</t>
        </is>
      </c>
      <c r="J1302" t="inlineStr">
        <is>
          <t>0</t>
        </is>
      </c>
      <c r="K1302" t="inlineStr">
        <is>
          <t>Ebel, Hans Friedrich.</t>
        </is>
      </c>
      <c r="L1302" t="inlineStr">
        <is>
          <t>Weinheim ; Cambridge : Wiley-VCH, 2004.</t>
        </is>
      </c>
      <c r="M1302" t="inlineStr">
        <is>
          <t>2004</t>
        </is>
      </c>
      <c r="N1302" t="inlineStr">
        <is>
          <t>2nd, comp. rev. ed.</t>
        </is>
      </c>
      <c r="O1302" t="inlineStr">
        <is>
          <t>eng</t>
        </is>
      </c>
      <c r="P1302" t="inlineStr">
        <is>
          <t xml:space="preserve">gw </t>
        </is>
      </c>
      <c r="R1302" t="inlineStr">
        <is>
          <t xml:space="preserve">QD </t>
        </is>
      </c>
      <c r="S1302" t="n">
        <v>1</v>
      </c>
      <c r="T1302" t="n">
        <v>1</v>
      </c>
      <c r="U1302" t="inlineStr">
        <is>
          <t>2004-04-12</t>
        </is>
      </c>
      <c r="V1302" t="inlineStr">
        <is>
          <t>2004-04-12</t>
        </is>
      </c>
      <c r="W1302" t="inlineStr">
        <is>
          <t>2004-04-12</t>
        </is>
      </c>
      <c r="X1302" t="inlineStr">
        <is>
          <t>2004-04-12</t>
        </is>
      </c>
      <c r="Y1302" t="n">
        <v>685</v>
      </c>
      <c r="Z1302" t="n">
        <v>498</v>
      </c>
      <c r="AA1302" t="n">
        <v>930</v>
      </c>
      <c r="AB1302" t="n">
        <v>3</v>
      </c>
      <c r="AC1302" t="n">
        <v>8</v>
      </c>
      <c r="AD1302" t="n">
        <v>27</v>
      </c>
      <c r="AE1302" t="n">
        <v>39</v>
      </c>
      <c r="AF1302" t="n">
        <v>14</v>
      </c>
      <c r="AG1302" t="n">
        <v>16</v>
      </c>
      <c r="AH1302" t="n">
        <v>7</v>
      </c>
      <c r="AI1302" t="n">
        <v>9</v>
      </c>
      <c r="AJ1302" t="n">
        <v>11</v>
      </c>
      <c r="AK1302" t="n">
        <v>16</v>
      </c>
      <c r="AL1302" t="n">
        <v>2</v>
      </c>
      <c r="AM1302" t="n">
        <v>6</v>
      </c>
      <c r="AN1302" t="n">
        <v>0</v>
      </c>
      <c r="AO1302" t="n">
        <v>0</v>
      </c>
      <c r="AP1302" t="inlineStr">
        <is>
          <t>No</t>
        </is>
      </c>
      <c r="AQ1302" t="inlineStr">
        <is>
          <t>No</t>
        </is>
      </c>
      <c r="AS1302">
        <f>HYPERLINK("https://creighton-primo.hosted.exlibrisgroup.com/primo-explore/search?tab=default_tab&amp;search_scope=EVERYTHING&amp;vid=01CRU&amp;lang=en_US&amp;offset=0&amp;query=any,contains,991004243269702656","Catalog Record")</f>
        <v/>
      </c>
      <c r="AT1302">
        <f>HYPERLINK("http://www.worldcat.org/oclc/50432946","WorldCat Record")</f>
        <v/>
      </c>
      <c r="AU1302" t="inlineStr">
        <is>
          <t>1072907:eng</t>
        </is>
      </c>
      <c r="AV1302" t="inlineStr">
        <is>
          <t>50432946</t>
        </is>
      </c>
      <c r="AW1302" t="inlineStr">
        <is>
          <t>991004243269702656</t>
        </is>
      </c>
      <c r="AX1302" t="inlineStr">
        <is>
          <t>991004243269702656</t>
        </is>
      </c>
      <c r="AY1302" t="inlineStr">
        <is>
          <t>2257763880002656</t>
        </is>
      </c>
      <c r="AZ1302" t="inlineStr">
        <is>
          <t>BOOK</t>
        </is>
      </c>
      <c r="BB1302" t="inlineStr">
        <is>
          <t>9783527298297</t>
        </is>
      </c>
      <c r="BC1302" t="inlineStr">
        <is>
          <t>32285004898580</t>
        </is>
      </c>
      <c r="BD1302" t="inlineStr">
        <is>
          <t>893325114</t>
        </is>
      </c>
    </row>
    <row r="1303">
      <c r="A1303" t="inlineStr">
        <is>
          <t>No</t>
        </is>
      </c>
      <c r="B1303" t="inlineStr">
        <is>
          <t>QD903.6.H63 F47 2000</t>
        </is>
      </c>
      <c r="C1303" t="inlineStr">
        <is>
          <t>0                      QD 0903600H  63                 F  47          2000</t>
        </is>
      </c>
      <c r="D1303" t="inlineStr">
        <is>
          <t>Dorothy Hodgkin : a life / Georgina Ferry.</t>
        </is>
      </c>
      <c r="F1303" t="inlineStr">
        <is>
          <t>No</t>
        </is>
      </c>
      <c r="G1303" t="inlineStr">
        <is>
          <t>1</t>
        </is>
      </c>
      <c r="H1303" t="inlineStr">
        <is>
          <t>No</t>
        </is>
      </c>
      <c r="I1303" t="inlineStr">
        <is>
          <t>No</t>
        </is>
      </c>
      <c r="J1303" t="inlineStr">
        <is>
          <t>0</t>
        </is>
      </c>
      <c r="K1303" t="inlineStr">
        <is>
          <t>Ferry, Georgina.</t>
        </is>
      </c>
      <c r="L1303" t="inlineStr">
        <is>
          <t>Cold Spring Harbor, N.Y. : Cold Spring Harbor Laboratory Press, 2000.</t>
        </is>
      </c>
      <c r="M1303" t="inlineStr">
        <is>
          <t>2000</t>
        </is>
      </c>
      <c r="O1303" t="inlineStr">
        <is>
          <t>eng</t>
        </is>
      </c>
      <c r="P1303" t="inlineStr">
        <is>
          <t>nyu</t>
        </is>
      </c>
      <c r="R1303" t="inlineStr">
        <is>
          <t xml:space="preserve">QD </t>
        </is>
      </c>
      <c r="S1303" t="n">
        <v>1</v>
      </c>
      <c r="T1303" t="n">
        <v>1</v>
      </c>
      <c r="U1303" t="inlineStr">
        <is>
          <t>2000-11-30</t>
        </is>
      </c>
      <c r="V1303" t="inlineStr">
        <is>
          <t>2000-11-30</t>
        </is>
      </c>
      <c r="W1303" t="inlineStr">
        <is>
          <t>2000-11-29</t>
        </is>
      </c>
      <c r="X1303" t="inlineStr">
        <is>
          <t>2000-11-29</t>
        </is>
      </c>
      <c r="Y1303" t="n">
        <v>359</v>
      </c>
      <c r="Z1303" t="n">
        <v>315</v>
      </c>
      <c r="AA1303" t="n">
        <v>447</v>
      </c>
      <c r="AB1303" t="n">
        <v>3</v>
      </c>
      <c r="AC1303" t="n">
        <v>3</v>
      </c>
      <c r="AD1303" t="n">
        <v>18</v>
      </c>
      <c r="AE1303" t="n">
        <v>23</v>
      </c>
      <c r="AF1303" t="n">
        <v>10</v>
      </c>
      <c r="AG1303" t="n">
        <v>12</v>
      </c>
      <c r="AH1303" t="n">
        <v>2</v>
      </c>
      <c r="AI1303" t="n">
        <v>4</v>
      </c>
      <c r="AJ1303" t="n">
        <v>7</v>
      </c>
      <c r="AK1303" t="n">
        <v>10</v>
      </c>
      <c r="AL1303" t="n">
        <v>2</v>
      </c>
      <c r="AM1303" t="n">
        <v>2</v>
      </c>
      <c r="AN1303" t="n">
        <v>0</v>
      </c>
      <c r="AO1303" t="n">
        <v>0</v>
      </c>
      <c r="AP1303" t="inlineStr">
        <is>
          <t>No</t>
        </is>
      </c>
      <c r="AQ1303" t="inlineStr">
        <is>
          <t>Yes</t>
        </is>
      </c>
      <c r="AR1303">
        <f>HYPERLINK("http://catalog.hathitrust.org/Record/012280810","HathiTrust Record")</f>
        <v/>
      </c>
      <c r="AS1303">
        <f>HYPERLINK("https://creighton-primo.hosted.exlibrisgroup.com/primo-explore/search?tab=default_tab&amp;search_scope=EVERYTHING&amp;vid=01CRU&amp;lang=en_US&amp;offset=0&amp;query=any,contains,991003352529702656","Catalog Record")</f>
        <v/>
      </c>
      <c r="AT1303">
        <f>HYPERLINK("http://www.worldcat.org/oclc/43661951","WorldCat Record")</f>
        <v/>
      </c>
      <c r="AU1303" t="inlineStr">
        <is>
          <t>23772674:eng</t>
        </is>
      </c>
      <c r="AV1303" t="inlineStr">
        <is>
          <t>43661951</t>
        </is>
      </c>
      <c r="AW1303" t="inlineStr">
        <is>
          <t>991003352529702656</t>
        </is>
      </c>
      <c r="AX1303" t="inlineStr">
        <is>
          <t>991003352529702656</t>
        </is>
      </c>
      <c r="AY1303" t="inlineStr">
        <is>
          <t>2261856450002656</t>
        </is>
      </c>
      <c r="AZ1303" t="inlineStr">
        <is>
          <t>BOOK</t>
        </is>
      </c>
      <c r="BB1303" t="inlineStr">
        <is>
          <t>9780879695903</t>
        </is>
      </c>
      <c r="BC1303" t="inlineStr">
        <is>
          <t>32285004267935</t>
        </is>
      </c>
      <c r="BD1303" t="inlineStr">
        <is>
          <t>893881088</t>
        </is>
      </c>
    </row>
    <row r="1304">
      <c r="A1304" t="inlineStr">
        <is>
          <t>No</t>
        </is>
      </c>
      <c r="B1304" t="inlineStr">
        <is>
          <t>QD905 .A9</t>
        </is>
      </c>
      <c r="C1304" t="inlineStr">
        <is>
          <t>0                      QD 0905000A  9</t>
        </is>
      </c>
      <c r="D1304" t="inlineStr">
        <is>
          <t>Introduction to solids.</t>
        </is>
      </c>
      <c r="F1304" t="inlineStr">
        <is>
          <t>No</t>
        </is>
      </c>
      <c r="G1304" t="inlineStr">
        <is>
          <t>1</t>
        </is>
      </c>
      <c r="H1304" t="inlineStr">
        <is>
          <t>No</t>
        </is>
      </c>
      <c r="I1304" t="inlineStr">
        <is>
          <t>No</t>
        </is>
      </c>
      <c r="J1304" t="inlineStr">
        <is>
          <t>0</t>
        </is>
      </c>
      <c r="K1304" t="inlineStr">
        <is>
          <t>Azároff, Leonid V.</t>
        </is>
      </c>
      <c r="L1304" t="inlineStr">
        <is>
          <t>New York : McGraw-Hill, 1960.</t>
        </is>
      </c>
      <c r="M1304" t="inlineStr">
        <is>
          <t>1960</t>
        </is>
      </c>
      <c r="O1304" t="inlineStr">
        <is>
          <t>eng</t>
        </is>
      </c>
      <c r="P1304" t="inlineStr">
        <is>
          <t>nyu</t>
        </is>
      </c>
      <c r="R1304" t="inlineStr">
        <is>
          <t xml:space="preserve">QD </t>
        </is>
      </c>
      <c r="S1304" t="n">
        <v>7</v>
      </c>
      <c r="T1304" t="n">
        <v>7</v>
      </c>
      <c r="U1304" t="inlineStr">
        <is>
          <t>2002-02-22</t>
        </is>
      </c>
      <c r="V1304" t="inlineStr">
        <is>
          <t>2002-02-22</t>
        </is>
      </c>
      <c r="W1304" t="inlineStr">
        <is>
          <t>1992-06-12</t>
        </is>
      </c>
      <c r="X1304" t="inlineStr">
        <is>
          <t>1992-06-12</t>
        </is>
      </c>
      <c r="Y1304" t="n">
        <v>696</v>
      </c>
      <c r="Z1304" t="n">
        <v>532</v>
      </c>
      <c r="AA1304" t="n">
        <v>565</v>
      </c>
      <c r="AB1304" t="n">
        <v>5</v>
      </c>
      <c r="AC1304" t="n">
        <v>5</v>
      </c>
      <c r="AD1304" t="n">
        <v>21</v>
      </c>
      <c r="AE1304" t="n">
        <v>21</v>
      </c>
      <c r="AF1304" t="n">
        <v>8</v>
      </c>
      <c r="AG1304" t="n">
        <v>8</v>
      </c>
      <c r="AH1304" t="n">
        <v>2</v>
      </c>
      <c r="AI1304" t="n">
        <v>2</v>
      </c>
      <c r="AJ1304" t="n">
        <v>12</v>
      </c>
      <c r="AK1304" t="n">
        <v>12</v>
      </c>
      <c r="AL1304" t="n">
        <v>4</v>
      </c>
      <c r="AM1304" t="n">
        <v>4</v>
      </c>
      <c r="AN1304" t="n">
        <v>0</v>
      </c>
      <c r="AO1304" t="n">
        <v>0</v>
      </c>
      <c r="AP1304" t="inlineStr">
        <is>
          <t>Yes</t>
        </is>
      </c>
      <c r="AQ1304" t="inlineStr">
        <is>
          <t>No</t>
        </is>
      </c>
      <c r="AR1304">
        <f>HYPERLINK("http://catalog.hathitrust.org/Record/001114429","HathiTrust Record")</f>
        <v/>
      </c>
      <c r="AS1304">
        <f>HYPERLINK("https://creighton-primo.hosted.exlibrisgroup.com/primo-explore/search?tab=default_tab&amp;search_scope=EVERYTHING&amp;vid=01CRU&amp;lang=en_US&amp;offset=0&amp;query=any,contains,991005355829702656","Catalog Record")</f>
        <v/>
      </c>
      <c r="AT1304">
        <f>HYPERLINK("http://www.worldcat.org/oclc/544892","WorldCat Record")</f>
        <v/>
      </c>
      <c r="AU1304" t="inlineStr">
        <is>
          <t>1576218:eng</t>
        </is>
      </c>
      <c r="AV1304" t="inlineStr">
        <is>
          <t>544892</t>
        </is>
      </c>
      <c r="AW1304" t="inlineStr">
        <is>
          <t>991005355829702656</t>
        </is>
      </c>
      <c r="AX1304" t="inlineStr">
        <is>
          <t>991005355829702656</t>
        </is>
      </c>
      <c r="AY1304" t="inlineStr">
        <is>
          <t>2268078670002656</t>
        </is>
      </c>
      <c r="AZ1304" t="inlineStr">
        <is>
          <t>BOOK</t>
        </is>
      </c>
      <c r="BC1304" t="inlineStr">
        <is>
          <t>32285001131316</t>
        </is>
      </c>
      <c r="BD1304" t="inlineStr">
        <is>
          <t>893437578</t>
        </is>
      </c>
    </row>
    <row r="1305">
      <c r="A1305" t="inlineStr">
        <is>
          <t>No</t>
        </is>
      </c>
      <c r="B1305" t="inlineStr">
        <is>
          <t>QD905 .B98 1964</t>
        </is>
      </c>
      <c r="C1305" t="inlineStr">
        <is>
          <t>0                      QD 0905000B  98          1964</t>
        </is>
      </c>
      <c r="D1305" t="inlineStr">
        <is>
          <t>Crystals : their role in nature and in science / by Charles Bunn.</t>
        </is>
      </c>
      <c r="F1305" t="inlineStr">
        <is>
          <t>No</t>
        </is>
      </c>
      <c r="G1305" t="inlineStr">
        <is>
          <t>1</t>
        </is>
      </c>
      <c r="H1305" t="inlineStr">
        <is>
          <t>No</t>
        </is>
      </c>
      <c r="I1305" t="inlineStr">
        <is>
          <t>No</t>
        </is>
      </c>
      <c r="J1305" t="inlineStr">
        <is>
          <t>0</t>
        </is>
      </c>
      <c r="K1305" t="inlineStr">
        <is>
          <t>Bunn, C. W. (Charles William)</t>
        </is>
      </c>
      <c r="L1305" t="inlineStr">
        <is>
          <t>New York : Academic Press, [1964]</t>
        </is>
      </c>
      <c r="M1305" t="inlineStr">
        <is>
          <t>1964</t>
        </is>
      </c>
      <c r="O1305" t="inlineStr">
        <is>
          <t>eng</t>
        </is>
      </c>
      <c r="P1305" t="inlineStr">
        <is>
          <t>nyu</t>
        </is>
      </c>
      <c r="Q1305" t="inlineStr">
        <is>
          <t>Academic paperbacks. Physics</t>
        </is>
      </c>
      <c r="R1305" t="inlineStr">
        <is>
          <t xml:space="preserve">QD </t>
        </is>
      </c>
      <c r="S1305" t="n">
        <v>6</v>
      </c>
      <c r="T1305" t="n">
        <v>6</v>
      </c>
      <c r="U1305" t="inlineStr">
        <is>
          <t>1999-10-01</t>
        </is>
      </c>
      <c r="V1305" t="inlineStr">
        <is>
          <t>1999-10-01</t>
        </is>
      </c>
      <c r="W1305" t="inlineStr">
        <is>
          <t>1992-03-31</t>
        </is>
      </c>
      <c r="X1305" t="inlineStr">
        <is>
          <t>1992-03-31</t>
        </is>
      </c>
      <c r="Y1305" t="n">
        <v>523</v>
      </c>
      <c r="Z1305" t="n">
        <v>435</v>
      </c>
      <c r="AA1305" t="n">
        <v>482</v>
      </c>
      <c r="AB1305" t="n">
        <v>5</v>
      </c>
      <c r="AC1305" t="n">
        <v>5</v>
      </c>
      <c r="AD1305" t="n">
        <v>19</v>
      </c>
      <c r="AE1305" t="n">
        <v>23</v>
      </c>
      <c r="AF1305" t="n">
        <v>7</v>
      </c>
      <c r="AG1305" t="n">
        <v>9</v>
      </c>
      <c r="AH1305" t="n">
        <v>3</v>
      </c>
      <c r="AI1305" t="n">
        <v>5</v>
      </c>
      <c r="AJ1305" t="n">
        <v>10</v>
      </c>
      <c r="AK1305" t="n">
        <v>11</v>
      </c>
      <c r="AL1305" t="n">
        <v>4</v>
      </c>
      <c r="AM1305" t="n">
        <v>4</v>
      </c>
      <c r="AN1305" t="n">
        <v>0</v>
      </c>
      <c r="AO1305" t="n">
        <v>0</v>
      </c>
      <c r="AP1305" t="inlineStr">
        <is>
          <t>No</t>
        </is>
      </c>
      <c r="AQ1305" t="inlineStr">
        <is>
          <t>Yes</t>
        </is>
      </c>
      <c r="AR1305">
        <f>HYPERLINK("http://catalog.hathitrust.org/Record/001112759","HathiTrust Record")</f>
        <v/>
      </c>
      <c r="AS1305">
        <f>HYPERLINK("https://creighton-primo.hosted.exlibrisgroup.com/primo-explore/search?tab=default_tab&amp;search_scope=EVERYTHING&amp;vid=01CRU&amp;lang=en_US&amp;offset=0&amp;query=any,contains,991002977059702656","Catalog Record")</f>
        <v/>
      </c>
      <c r="AT1305">
        <f>HYPERLINK("http://www.worldcat.org/oclc/552519","WorldCat Record")</f>
        <v/>
      </c>
      <c r="AU1305" t="inlineStr">
        <is>
          <t>1600658:eng</t>
        </is>
      </c>
      <c r="AV1305" t="inlineStr">
        <is>
          <t>552519</t>
        </is>
      </c>
      <c r="AW1305" t="inlineStr">
        <is>
          <t>991002977059702656</t>
        </is>
      </c>
      <c r="AX1305" t="inlineStr">
        <is>
          <t>991002977059702656</t>
        </is>
      </c>
      <c r="AY1305" t="inlineStr">
        <is>
          <t>2259492800002656</t>
        </is>
      </c>
      <c r="AZ1305" t="inlineStr">
        <is>
          <t>BOOK</t>
        </is>
      </c>
      <c r="BC1305" t="inlineStr">
        <is>
          <t>32285001030096</t>
        </is>
      </c>
      <c r="BD1305" t="inlineStr">
        <is>
          <t>893233680</t>
        </is>
      </c>
    </row>
    <row r="1306">
      <c r="A1306" t="inlineStr">
        <is>
          <t>No</t>
        </is>
      </c>
      <c r="B1306" t="inlineStr">
        <is>
          <t>QD905 .E83 1966</t>
        </is>
      </c>
      <c r="C1306" t="inlineStr">
        <is>
          <t>0                      QD 0905000E  83          1966</t>
        </is>
      </c>
      <c r="D1306" t="inlineStr">
        <is>
          <t>An introduction to crystal chemistry.</t>
        </is>
      </c>
      <c r="F1306" t="inlineStr">
        <is>
          <t>No</t>
        </is>
      </c>
      <c r="G1306" t="inlineStr">
        <is>
          <t>1</t>
        </is>
      </c>
      <c r="H1306" t="inlineStr">
        <is>
          <t>No</t>
        </is>
      </c>
      <c r="I1306" t="inlineStr">
        <is>
          <t>No</t>
        </is>
      </c>
      <c r="J1306" t="inlineStr">
        <is>
          <t>0</t>
        </is>
      </c>
      <c r="K1306" t="inlineStr">
        <is>
          <t>Evans, Robert Crispin.</t>
        </is>
      </c>
      <c r="L1306" t="inlineStr">
        <is>
          <t>Cambridge : Cambridge University Pr., 1966.</t>
        </is>
      </c>
      <c r="M1306" t="inlineStr">
        <is>
          <t>1966</t>
        </is>
      </c>
      <c r="N1306" t="inlineStr">
        <is>
          <t>2d ed., reprinted with corrections</t>
        </is>
      </c>
      <c r="O1306" t="inlineStr">
        <is>
          <t>eng</t>
        </is>
      </c>
      <c r="P1306" t="inlineStr">
        <is>
          <t xml:space="preserve">xx </t>
        </is>
      </c>
      <c r="R1306" t="inlineStr">
        <is>
          <t xml:space="preserve">QD </t>
        </is>
      </c>
      <c r="S1306" t="n">
        <v>3</v>
      </c>
      <c r="T1306" t="n">
        <v>3</v>
      </c>
      <c r="U1306" t="inlineStr">
        <is>
          <t>2006-02-15</t>
        </is>
      </c>
      <c r="V1306" t="inlineStr">
        <is>
          <t>2006-02-15</t>
        </is>
      </c>
      <c r="W1306" t="inlineStr">
        <is>
          <t>1992-03-24</t>
        </is>
      </c>
      <c r="X1306" t="inlineStr">
        <is>
          <t>1992-03-24</t>
        </is>
      </c>
      <c r="Y1306" t="n">
        <v>182</v>
      </c>
      <c r="Z1306" t="n">
        <v>128</v>
      </c>
      <c r="AA1306" t="n">
        <v>605</v>
      </c>
      <c r="AB1306" t="n">
        <v>1</v>
      </c>
      <c r="AC1306" t="n">
        <v>4</v>
      </c>
      <c r="AD1306" t="n">
        <v>1</v>
      </c>
      <c r="AE1306" t="n">
        <v>24</v>
      </c>
      <c r="AF1306" t="n">
        <v>0</v>
      </c>
      <c r="AG1306" t="n">
        <v>7</v>
      </c>
      <c r="AH1306" t="n">
        <v>0</v>
      </c>
      <c r="AI1306" t="n">
        <v>5</v>
      </c>
      <c r="AJ1306" t="n">
        <v>1</v>
      </c>
      <c r="AK1306" t="n">
        <v>15</v>
      </c>
      <c r="AL1306" t="n">
        <v>0</v>
      </c>
      <c r="AM1306" t="n">
        <v>3</v>
      </c>
      <c r="AN1306" t="n">
        <v>0</v>
      </c>
      <c r="AO1306" t="n">
        <v>0</v>
      </c>
      <c r="AP1306" t="inlineStr">
        <is>
          <t>No</t>
        </is>
      </c>
      <c r="AQ1306" t="inlineStr">
        <is>
          <t>No</t>
        </is>
      </c>
      <c r="AS1306">
        <f>HYPERLINK("https://creighton-primo.hosted.exlibrisgroup.com/primo-explore/search?tab=default_tab&amp;search_scope=EVERYTHING&amp;vid=01CRU&amp;lang=en_US&amp;offset=0&amp;query=any,contains,991001919829702656","Catalog Record")</f>
        <v/>
      </c>
      <c r="AT1306">
        <f>HYPERLINK("http://www.worldcat.org/oclc/244748","WorldCat Record")</f>
        <v/>
      </c>
      <c r="AU1306" t="inlineStr">
        <is>
          <t>1396400:eng</t>
        </is>
      </c>
      <c r="AV1306" t="inlineStr">
        <is>
          <t>244748</t>
        </is>
      </c>
      <c r="AW1306" t="inlineStr">
        <is>
          <t>991001919829702656</t>
        </is>
      </c>
      <c r="AX1306" t="inlineStr">
        <is>
          <t>991001919829702656</t>
        </is>
      </c>
      <c r="AY1306" t="inlineStr">
        <is>
          <t>2270197610002656</t>
        </is>
      </c>
      <c r="AZ1306" t="inlineStr">
        <is>
          <t>BOOK</t>
        </is>
      </c>
      <c r="BC1306" t="inlineStr">
        <is>
          <t>32285001026797</t>
        </is>
      </c>
      <c r="BD1306" t="inlineStr">
        <is>
          <t>893503813</t>
        </is>
      </c>
    </row>
    <row r="1307">
      <c r="A1307" t="inlineStr">
        <is>
          <t>No</t>
        </is>
      </c>
      <c r="B1307" t="inlineStr">
        <is>
          <t>QD905 .W45</t>
        </is>
      </c>
      <c r="C1307" t="inlineStr">
        <is>
          <t>0                      QD 0905000W  45</t>
        </is>
      </c>
      <c r="D1307" t="inlineStr">
        <is>
          <t>Crystals perfect and imperfect / by scientists of the Westinghouse Research Laboratories: Allan Bennett [and others] Sharon Banigan, executive editor.</t>
        </is>
      </c>
      <c r="F1307" t="inlineStr">
        <is>
          <t>No</t>
        </is>
      </c>
      <c r="G1307" t="inlineStr">
        <is>
          <t>1</t>
        </is>
      </c>
      <c r="H1307" t="inlineStr">
        <is>
          <t>No</t>
        </is>
      </c>
      <c r="I1307" t="inlineStr">
        <is>
          <t>No</t>
        </is>
      </c>
      <c r="J1307" t="inlineStr">
        <is>
          <t>0</t>
        </is>
      </c>
      <c r="K1307" t="inlineStr">
        <is>
          <t>Westinghouse Research Laboratories.</t>
        </is>
      </c>
      <c r="L1307" t="inlineStr">
        <is>
          <t>New York : Walker, [1965]</t>
        </is>
      </c>
      <c r="M1307" t="inlineStr">
        <is>
          <t>1965</t>
        </is>
      </c>
      <c r="O1307" t="inlineStr">
        <is>
          <t>eng</t>
        </is>
      </c>
      <c r="P1307" t="inlineStr">
        <is>
          <t>nyu</t>
        </is>
      </c>
      <c r="Q1307" t="inlineStr">
        <is>
          <t>A Westinghouse search book</t>
        </is>
      </c>
      <c r="R1307" t="inlineStr">
        <is>
          <t xml:space="preserve">QD </t>
        </is>
      </c>
      <c r="S1307" t="n">
        <v>7</v>
      </c>
      <c r="T1307" t="n">
        <v>7</v>
      </c>
      <c r="U1307" t="inlineStr">
        <is>
          <t>2000-04-15</t>
        </is>
      </c>
      <c r="V1307" t="inlineStr">
        <is>
          <t>2000-04-15</t>
        </is>
      </c>
      <c r="W1307" t="inlineStr">
        <is>
          <t>1993-05-12</t>
        </is>
      </c>
      <c r="X1307" t="inlineStr">
        <is>
          <t>1993-05-12</t>
        </is>
      </c>
      <c r="Y1307" t="n">
        <v>560</v>
      </c>
      <c r="Z1307" t="n">
        <v>493</v>
      </c>
      <c r="AA1307" t="n">
        <v>496</v>
      </c>
      <c r="AB1307" t="n">
        <v>6</v>
      </c>
      <c r="AC1307" t="n">
        <v>6</v>
      </c>
      <c r="AD1307" t="n">
        <v>18</v>
      </c>
      <c r="AE1307" t="n">
        <v>18</v>
      </c>
      <c r="AF1307" t="n">
        <v>6</v>
      </c>
      <c r="AG1307" t="n">
        <v>6</v>
      </c>
      <c r="AH1307" t="n">
        <v>3</v>
      </c>
      <c r="AI1307" t="n">
        <v>3</v>
      </c>
      <c r="AJ1307" t="n">
        <v>9</v>
      </c>
      <c r="AK1307" t="n">
        <v>9</v>
      </c>
      <c r="AL1307" t="n">
        <v>5</v>
      </c>
      <c r="AM1307" t="n">
        <v>5</v>
      </c>
      <c r="AN1307" t="n">
        <v>0</v>
      </c>
      <c r="AO1307" t="n">
        <v>0</v>
      </c>
      <c r="AP1307" t="inlineStr">
        <is>
          <t>No</t>
        </is>
      </c>
      <c r="AQ1307" t="inlineStr">
        <is>
          <t>No</t>
        </is>
      </c>
      <c r="AS1307">
        <f>HYPERLINK("https://creighton-primo.hosted.exlibrisgroup.com/primo-explore/search?tab=default_tab&amp;search_scope=EVERYTHING&amp;vid=01CRU&amp;lang=en_US&amp;offset=0&amp;query=any,contains,991003743799702656","Catalog Record")</f>
        <v/>
      </c>
      <c r="AT1307">
        <f>HYPERLINK("http://www.worldcat.org/oclc/1411796","WorldCat Record")</f>
        <v/>
      </c>
      <c r="AU1307" t="inlineStr">
        <is>
          <t>2270651:eng</t>
        </is>
      </c>
      <c r="AV1307" t="inlineStr">
        <is>
          <t>1411796</t>
        </is>
      </c>
      <c r="AW1307" t="inlineStr">
        <is>
          <t>991003743799702656</t>
        </is>
      </c>
      <c r="AX1307" t="inlineStr">
        <is>
          <t>991003743799702656</t>
        </is>
      </c>
      <c r="AY1307" t="inlineStr">
        <is>
          <t>2256088410002656</t>
        </is>
      </c>
      <c r="AZ1307" t="inlineStr">
        <is>
          <t>BOOK</t>
        </is>
      </c>
      <c r="BC1307" t="inlineStr">
        <is>
          <t>32285001653632</t>
        </is>
      </c>
      <c r="BD1307" t="inlineStr">
        <is>
          <t>893234520</t>
        </is>
      </c>
    </row>
    <row r="1308">
      <c r="A1308" t="inlineStr">
        <is>
          <t>No</t>
        </is>
      </c>
      <c r="B1308" t="inlineStr">
        <is>
          <t>QD905.2 .G55</t>
        </is>
      </c>
      <c r="C1308" t="inlineStr">
        <is>
          <t>0                      QD 0905200G  55</t>
        </is>
      </c>
      <c r="D1308" t="inlineStr">
        <is>
          <t>Crystallography and its applications / L. S. Dent Glasser.</t>
        </is>
      </c>
      <c r="F1308" t="inlineStr">
        <is>
          <t>No</t>
        </is>
      </c>
      <c r="G1308" t="inlineStr">
        <is>
          <t>1</t>
        </is>
      </c>
      <c r="H1308" t="inlineStr">
        <is>
          <t>No</t>
        </is>
      </c>
      <c r="I1308" t="inlineStr">
        <is>
          <t>No</t>
        </is>
      </c>
      <c r="J1308" t="inlineStr">
        <is>
          <t>0</t>
        </is>
      </c>
      <c r="K1308" t="inlineStr">
        <is>
          <t>Glasser, L. S. Dent.</t>
        </is>
      </c>
      <c r="L1308" t="inlineStr">
        <is>
          <t>New York : Van Nostrand Reinhold, 1977.</t>
        </is>
      </c>
      <c r="M1308" t="inlineStr">
        <is>
          <t>1977</t>
        </is>
      </c>
      <c r="O1308" t="inlineStr">
        <is>
          <t>eng</t>
        </is>
      </c>
      <c r="P1308" t="inlineStr">
        <is>
          <t>nyu</t>
        </is>
      </c>
      <c r="R1308" t="inlineStr">
        <is>
          <t xml:space="preserve">QD </t>
        </is>
      </c>
      <c r="S1308" t="n">
        <v>6</v>
      </c>
      <c r="T1308" t="n">
        <v>6</v>
      </c>
      <c r="U1308" t="inlineStr">
        <is>
          <t>1998-09-18</t>
        </is>
      </c>
      <c r="V1308" t="inlineStr">
        <is>
          <t>1998-09-18</t>
        </is>
      </c>
      <c r="W1308" t="inlineStr">
        <is>
          <t>1992-03-27</t>
        </is>
      </c>
      <c r="X1308" t="inlineStr">
        <is>
          <t>1992-03-27</t>
        </is>
      </c>
      <c r="Y1308" t="n">
        <v>310</v>
      </c>
      <c r="Z1308" t="n">
        <v>161</v>
      </c>
      <c r="AA1308" t="n">
        <v>166</v>
      </c>
      <c r="AB1308" t="n">
        <v>1</v>
      </c>
      <c r="AC1308" t="n">
        <v>1</v>
      </c>
      <c r="AD1308" t="n">
        <v>3</v>
      </c>
      <c r="AE1308" t="n">
        <v>3</v>
      </c>
      <c r="AF1308" t="n">
        <v>1</v>
      </c>
      <c r="AG1308" t="n">
        <v>1</v>
      </c>
      <c r="AH1308" t="n">
        <v>2</v>
      </c>
      <c r="AI1308" t="n">
        <v>2</v>
      </c>
      <c r="AJ1308" t="n">
        <v>1</v>
      </c>
      <c r="AK1308" t="n">
        <v>1</v>
      </c>
      <c r="AL1308" t="n">
        <v>0</v>
      </c>
      <c r="AM1308" t="n">
        <v>0</v>
      </c>
      <c r="AN1308" t="n">
        <v>0</v>
      </c>
      <c r="AO1308" t="n">
        <v>0</v>
      </c>
      <c r="AP1308" t="inlineStr">
        <is>
          <t>No</t>
        </is>
      </c>
      <c r="AQ1308" t="inlineStr">
        <is>
          <t>Yes</t>
        </is>
      </c>
      <c r="AR1308">
        <f>HYPERLINK("http://catalog.hathitrust.org/Record/007475093","HathiTrust Record")</f>
        <v/>
      </c>
      <c r="AS1308">
        <f>HYPERLINK("https://creighton-primo.hosted.exlibrisgroup.com/primo-explore/search?tab=default_tab&amp;search_scope=EVERYTHING&amp;vid=01CRU&amp;lang=en_US&amp;offset=0&amp;query=any,contains,991003981419702656","Catalog Record")</f>
        <v/>
      </c>
      <c r="AT1308">
        <f>HYPERLINK("http://www.worldcat.org/oclc/2020444","WorldCat Record")</f>
        <v/>
      </c>
      <c r="AU1308" t="inlineStr">
        <is>
          <t>2703188:eng</t>
        </is>
      </c>
      <c r="AV1308" t="inlineStr">
        <is>
          <t>2020444</t>
        </is>
      </c>
      <c r="AW1308" t="inlineStr">
        <is>
          <t>991003981419702656</t>
        </is>
      </c>
      <c r="AX1308" t="inlineStr">
        <is>
          <t>991003981419702656</t>
        </is>
      </c>
      <c r="AY1308" t="inlineStr">
        <is>
          <t>2271523320002656</t>
        </is>
      </c>
      <c r="AZ1308" t="inlineStr">
        <is>
          <t>BOOK</t>
        </is>
      </c>
      <c r="BB1308" t="inlineStr">
        <is>
          <t>9780442301354</t>
        </is>
      </c>
      <c r="BC1308" t="inlineStr">
        <is>
          <t>32285001045540</t>
        </is>
      </c>
      <c r="BD1308" t="inlineStr">
        <is>
          <t>893519121</t>
        </is>
      </c>
    </row>
    <row r="1309">
      <c r="A1309" t="inlineStr">
        <is>
          <t>No</t>
        </is>
      </c>
      <c r="B1309" t="inlineStr">
        <is>
          <t>QD905.2 .M43</t>
        </is>
      </c>
      <c r="C1309" t="inlineStr">
        <is>
          <t>0                      QD 0905200M  43</t>
        </is>
      </c>
      <c r="D1309" t="inlineStr">
        <is>
          <t>Crystal structures : a working approach / [by] Helen D. Megaw. With diagrs. executed by J. Barber.</t>
        </is>
      </c>
      <c r="F1309" t="inlineStr">
        <is>
          <t>No</t>
        </is>
      </c>
      <c r="G1309" t="inlineStr">
        <is>
          <t>1</t>
        </is>
      </c>
      <c r="H1309" t="inlineStr">
        <is>
          <t>No</t>
        </is>
      </c>
      <c r="I1309" t="inlineStr">
        <is>
          <t>No</t>
        </is>
      </c>
      <c r="J1309" t="inlineStr">
        <is>
          <t>0</t>
        </is>
      </c>
      <c r="K1309" t="inlineStr">
        <is>
          <t>Megaw, Helen D.</t>
        </is>
      </c>
      <c r="L1309" t="inlineStr">
        <is>
          <t>Philadelphia : Saunders, 1973.</t>
        </is>
      </c>
      <c r="M1309" t="inlineStr">
        <is>
          <t>1973</t>
        </is>
      </c>
      <c r="O1309" t="inlineStr">
        <is>
          <t>eng</t>
        </is>
      </c>
      <c r="P1309" t="inlineStr">
        <is>
          <t>pau</t>
        </is>
      </c>
      <c r="Q1309" t="inlineStr">
        <is>
          <t>Studies in physics and chemistry ; no. 10</t>
        </is>
      </c>
      <c r="R1309" t="inlineStr">
        <is>
          <t xml:space="preserve">QD </t>
        </is>
      </c>
      <c r="S1309" t="n">
        <v>3</v>
      </c>
      <c r="T1309" t="n">
        <v>3</v>
      </c>
      <c r="U1309" t="inlineStr">
        <is>
          <t>2001-10-04</t>
        </is>
      </c>
      <c r="V1309" t="inlineStr">
        <is>
          <t>2001-10-04</t>
        </is>
      </c>
      <c r="W1309" t="inlineStr">
        <is>
          <t>1993-05-12</t>
        </is>
      </c>
      <c r="X1309" t="inlineStr">
        <is>
          <t>1993-05-12</t>
        </is>
      </c>
      <c r="Y1309" t="n">
        <v>450</v>
      </c>
      <c r="Z1309" t="n">
        <v>321</v>
      </c>
      <c r="AA1309" t="n">
        <v>327</v>
      </c>
      <c r="AB1309" t="n">
        <v>3</v>
      </c>
      <c r="AC1309" t="n">
        <v>3</v>
      </c>
      <c r="AD1309" t="n">
        <v>12</v>
      </c>
      <c r="AE1309" t="n">
        <v>12</v>
      </c>
      <c r="AF1309" t="n">
        <v>2</v>
      </c>
      <c r="AG1309" t="n">
        <v>2</v>
      </c>
      <c r="AH1309" t="n">
        <v>4</v>
      </c>
      <c r="AI1309" t="n">
        <v>4</v>
      </c>
      <c r="AJ1309" t="n">
        <v>7</v>
      </c>
      <c r="AK1309" t="n">
        <v>7</v>
      </c>
      <c r="AL1309" t="n">
        <v>2</v>
      </c>
      <c r="AM1309" t="n">
        <v>2</v>
      </c>
      <c r="AN1309" t="n">
        <v>0</v>
      </c>
      <c r="AO1309" t="n">
        <v>0</v>
      </c>
      <c r="AP1309" t="inlineStr">
        <is>
          <t>No</t>
        </is>
      </c>
      <c r="AQ1309" t="inlineStr">
        <is>
          <t>Yes</t>
        </is>
      </c>
      <c r="AR1309">
        <f>HYPERLINK("http://catalog.hathitrust.org/Record/009540119","HathiTrust Record")</f>
        <v/>
      </c>
      <c r="AS1309">
        <f>HYPERLINK("https://creighton-primo.hosted.exlibrisgroup.com/primo-explore/search?tab=default_tab&amp;search_scope=EVERYTHING&amp;vid=01CRU&amp;lang=en_US&amp;offset=0&amp;query=any,contains,991003170859702656","Catalog Record")</f>
        <v/>
      </c>
      <c r="AT1309">
        <f>HYPERLINK("http://www.worldcat.org/oclc/707007","WorldCat Record")</f>
        <v/>
      </c>
      <c r="AU1309" t="inlineStr">
        <is>
          <t>815123638:eng</t>
        </is>
      </c>
      <c r="AV1309" t="inlineStr">
        <is>
          <t>707007</t>
        </is>
      </c>
      <c r="AW1309" t="inlineStr">
        <is>
          <t>991003170859702656</t>
        </is>
      </c>
      <c r="AX1309" t="inlineStr">
        <is>
          <t>991003170859702656</t>
        </is>
      </c>
      <c r="AY1309" t="inlineStr">
        <is>
          <t>2268963830002656</t>
        </is>
      </c>
      <c r="AZ1309" t="inlineStr">
        <is>
          <t>BOOK</t>
        </is>
      </c>
      <c r="BB1309" t="inlineStr">
        <is>
          <t>9780721662602</t>
        </is>
      </c>
      <c r="BC1309" t="inlineStr">
        <is>
          <t>32285001653624</t>
        </is>
      </c>
      <c r="BD1309" t="inlineStr">
        <is>
          <t>893774471</t>
        </is>
      </c>
    </row>
    <row r="1310">
      <c r="A1310" t="inlineStr">
        <is>
          <t>No</t>
        </is>
      </c>
      <c r="B1310" t="inlineStr">
        <is>
          <t>QD908 .T3</t>
        </is>
      </c>
      <c r="C1310" t="inlineStr">
        <is>
          <t>0                      QD 0908000T  3</t>
        </is>
      </c>
      <c r="D1310" t="inlineStr">
        <is>
          <t>Crystallographic data on metal and alloy structures.</t>
        </is>
      </c>
      <c r="F1310" t="inlineStr">
        <is>
          <t>No</t>
        </is>
      </c>
      <c r="G1310" t="inlineStr">
        <is>
          <t>1</t>
        </is>
      </c>
      <c r="H1310" t="inlineStr">
        <is>
          <t>No</t>
        </is>
      </c>
      <c r="I1310" t="inlineStr">
        <is>
          <t>No</t>
        </is>
      </c>
      <c r="J1310" t="inlineStr">
        <is>
          <t>0</t>
        </is>
      </c>
      <c r="K1310" t="inlineStr">
        <is>
          <t>Taylor, Abraham, compiler.</t>
        </is>
      </c>
      <c r="L1310" t="inlineStr">
        <is>
          <t>New York, Dover Publications [1963]</t>
        </is>
      </c>
      <c r="M1310" t="inlineStr">
        <is>
          <t>1963</t>
        </is>
      </c>
      <c r="O1310" t="inlineStr">
        <is>
          <t>eng</t>
        </is>
      </c>
      <c r="P1310" t="inlineStr">
        <is>
          <t>nyu</t>
        </is>
      </c>
      <c r="R1310" t="inlineStr">
        <is>
          <t xml:space="preserve">QD </t>
        </is>
      </c>
      <c r="S1310" t="n">
        <v>4</v>
      </c>
      <c r="T1310" t="n">
        <v>4</v>
      </c>
      <c r="U1310" t="inlineStr">
        <is>
          <t>1999-11-07</t>
        </is>
      </c>
      <c r="V1310" t="inlineStr">
        <is>
          <t>1999-11-07</t>
        </is>
      </c>
      <c r="W1310" t="inlineStr">
        <is>
          <t>1997-06-19</t>
        </is>
      </c>
      <c r="X1310" t="inlineStr">
        <is>
          <t>1997-06-19</t>
        </is>
      </c>
      <c r="Y1310" t="n">
        <v>310</v>
      </c>
      <c r="Z1310" t="n">
        <v>219</v>
      </c>
      <c r="AA1310" t="n">
        <v>226</v>
      </c>
      <c r="AB1310" t="n">
        <v>2</v>
      </c>
      <c r="AC1310" t="n">
        <v>2</v>
      </c>
      <c r="AD1310" t="n">
        <v>3</v>
      </c>
      <c r="AE1310" t="n">
        <v>3</v>
      </c>
      <c r="AF1310" t="n">
        <v>1</v>
      </c>
      <c r="AG1310" t="n">
        <v>1</v>
      </c>
      <c r="AH1310" t="n">
        <v>0</v>
      </c>
      <c r="AI1310" t="n">
        <v>0</v>
      </c>
      <c r="AJ1310" t="n">
        <v>2</v>
      </c>
      <c r="AK1310" t="n">
        <v>2</v>
      </c>
      <c r="AL1310" t="n">
        <v>1</v>
      </c>
      <c r="AM1310" t="n">
        <v>1</v>
      </c>
      <c r="AN1310" t="n">
        <v>0</v>
      </c>
      <c r="AO1310" t="n">
        <v>0</v>
      </c>
      <c r="AP1310" t="inlineStr">
        <is>
          <t>No</t>
        </is>
      </c>
      <c r="AQ1310" t="inlineStr">
        <is>
          <t>Yes</t>
        </is>
      </c>
      <c r="AR1310">
        <f>HYPERLINK("http://catalog.hathitrust.org/Record/001114453","HathiTrust Record")</f>
        <v/>
      </c>
      <c r="AS1310">
        <f>HYPERLINK("https://creighton-primo.hosted.exlibrisgroup.com/primo-explore/search?tab=default_tab&amp;search_scope=EVERYTHING&amp;vid=01CRU&amp;lang=en_US&amp;offset=0&amp;query=any,contains,991002964229702656","Catalog Record")</f>
        <v/>
      </c>
      <c r="AT1310">
        <f>HYPERLINK("http://www.worldcat.org/oclc/545197","WorldCat Record")</f>
        <v/>
      </c>
      <c r="AU1310" t="inlineStr">
        <is>
          <t>196542406:eng</t>
        </is>
      </c>
      <c r="AV1310" t="inlineStr">
        <is>
          <t>545197</t>
        </is>
      </c>
      <c r="AW1310" t="inlineStr">
        <is>
          <t>991002964229702656</t>
        </is>
      </c>
      <c r="AX1310" t="inlineStr">
        <is>
          <t>991002964229702656</t>
        </is>
      </c>
      <c r="AY1310" t="inlineStr">
        <is>
          <t>2264426700002656</t>
        </is>
      </c>
      <c r="AZ1310" t="inlineStr">
        <is>
          <t>BOOK</t>
        </is>
      </c>
      <c r="BC1310" t="inlineStr">
        <is>
          <t>32285002809977</t>
        </is>
      </c>
      <c r="BD1310" t="inlineStr">
        <is>
          <t>893409766</t>
        </is>
      </c>
    </row>
    <row r="1311">
      <c r="A1311" t="inlineStr">
        <is>
          <t>No</t>
        </is>
      </c>
      <c r="B1311" t="inlineStr">
        <is>
          <t>QD911 .B6 1985</t>
        </is>
      </c>
      <c r="C1311" t="inlineStr">
        <is>
          <t>0                      QD 0911000B  6           1985</t>
        </is>
      </c>
      <c r="D1311" t="inlineStr">
        <is>
          <t>Mathematical crystallography : an introduction to the mathematical foundations of crystallography / M.B. Boisen, Jr., G.V. Gibbs.</t>
        </is>
      </c>
      <c r="F1311" t="inlineStr">
        <is>
          <t>No</t>
        </is>
      </c>
      <c r="G1311" t="inlineStr">
        <is>
          <t>1</t>
        </is>
      </c>
      <c r="H1311" t="inlineStr">
        <is>
          <t>No</t>
        </is>
      </c>
      <c r="I1311" t="inlineStr">
        <is>
          <t>No</t>
        </is>
      </c>
      <c r="J1311" t="inlineStr">
        <is>
          <t>0</t>
        </is>
      </c>
      <c r="K1311" t="inlineStr">
        <is>
          <t>Boisen, Monte B.</t>
        </is>
      </c>
      <c r="L1311" t="inlineStr">
        <is>
          <t>Washington, D.C. : Mineralogical Society of America, c1985.</t>
        </is>
      </c>
      <c r="M1311" t="inlineStr">
        <is>
          <t>1985</t>
        </is>
      </c>
      <c r="O1311" t="inlineStr">
        <is>
          <t>eng</t>
        </is>
      </c>
      <c r="P1311" t="inlineStr">
        <is>
          <t>dcu</t>
        </is>
      </c>
      <c r="Q1311" t="inlineStr">
        <is>
          <t>Reviews in mineralogy, 0275-0279 ; v. 15</t>
        </is>
      </c>
      <c r="R1311" t="inlineStr">
        <is>
          <t xml:space="preserve">QD </t>
        </is>
      </c>
      <c r="S1311" t="n">
        <v>3</v>
      </c>
      <c r="T1311" t="n">
        <v>3</v>
      </c>
      <c r="U1311" t="inlineStr">
        <is>
          <t>2001-03-13</t>
        </is>
      </c>
      <c r="V1311" t="inlineStr">
        <is>
          <t>2001-03-13</t>
        </is>
      </c>
      <c r="W1311" t="inlineStr">
        <is>
          <t>1992-03-23</t>
        </is>
      </c>
      <c r="X1311" t="inlineStr">
        <is>
          <t>1992-03-23</t>
        </is>
      </c>
      <c r="Y1311" t="n">
        <v>426</v>
      </c>
      <c r="Z1311" t="n">
        <v>314</v>
      </c>
      <c r="AA1311" t="n">
        <v>338</v>
      </c>
      <c r="AB1311" t="n">
        <v>4</v>
      </c>
      <c r="AC1311" t="n">
        <v>4</v>
      </c>
      <c r="AD1311" t="n">
        <v>8</v>
      </c>
      <c r="AE1311" t="n">
        <v>9</v>
      </c>
      <c r="AF1311" t="n">
        <v>1</v>
      </c>
      <c r="AG1311" t="n">
        <v>1</v>
      </c>
      <c r="AH1311" t="n">
        <v>2</v>
      </c>
      <c r="AI1311" t="n">
        <v>2</v>
      </c>
      <c r="AJ1311" t="n">
        <v>3</v>
      </c>
      <c r="AK1311" t="n">
        <v>4</v>
      </c>
      <c r="AL1311" t="n">
        <v>3</v>
      </c>
      <c r="AM1311" t="n">
        <v>3</v>
      </c>
      <c r="AN1311" t="n">
        <v>0</v>
      </c>
      <c r="AO1311" t="n">
        <v>0</v>
      </c>
      <c r="AP1311" t="inlineStr">
        <is>
          <t>No</t>
        </is>
      </c>
      <c r="AQ1311" t="inlineStr">
        <is>
          <t>Yes</t>
        </is>
      </c>
      <c r="AR1311">
        <f>HYPERLINK("http://catalog.hathitrust.org/Record/009918702","HathiTrust Record")</f>
        <v/>
      </c>
      <c r="AS1311">
        <f>HYPERLINK("https://creighton-primo.hosted.exlibrisgroup.com/primo-explore/search?tab=default_tab&amp;search_scope=EVERYTHING&amp;vid=01CRU&amp;lang=en_US&amp;offset=0&amp;query=any,contains,991000732309702656","Catalog Record")</f>
        <v/>
      </c>
      <c r="AT1311">
        <f>HYPERLINK("http://www.worldcat.org/oclc/12741636","WorldCat Record")</f>
        <v/>
      </c>
      <c r="AU1311" t="inlineStr">
        <is>
          <t>795605314:eng</t>
        </is>
      </c>
      <c r="AV1311" t="inlineStr">
        <is>
          <t>12741636</t>
        </is>
      </c>
      <c r="AW1311" t="inlineStr">
        <is>
          <t>991000732309702656</t>
        </is>
      </c>
      <c r="AX1311" t="inlineStr">
        <is>
          <t>991000732309702656</t>
        </is>
      </c>
      <c r="AY1311" t="inlineStr">
        <is>
          <t>2272283770002656</t>
        </is>
      </c>
      <c r="AZ1311" t="inlineStr">
        <is>
          <t>BOOK</t>
        </is>
      </c>
      <c r="BB1311" t="inlineStr">
        <is>
          <t>9780939950195</t>
        </is>
      </c>
      <c r="BC1311" t="inlineStr">
        <is>
          <t>32285001026789</t>
        </is>
      </c>
      <c r="BD1311" t="inlineStr">
        <is>
          <t>893333721</t>
        </is>
      </c>
    </row>
    <row r="1312">
      <c r="A1312" t="inlineStr">
        <is>
          <t>No</t>
        </is>
      </c>
      <c r="B1312" t="inlineStr">
        <is>
          <t>QD911 .B873 1977</t>
        </is>
      </c>
      <c r="C1312" t="inlineStr">
        <is>
          <t>0                      QD 0911000B  873         1977</t>
        </is>
      </c>
      <c r="D1312" t="inlineStr">
        <is>
          <t>Introduction to crystal geometry / Martin J. Buerger.</t>
        </is>
      </c>
      <c r="F1312" t="inlineStr">
        <is>
          <t>No</t>
        </is>
      </c>
      <c r="G1312" t="inlineStr">
        <is>
          <t>1</t>
        </is>
      </c>
      <c r="H1312" t="inlineStr">
        <is>
          <t>No</t>
        </is>
      </c>
      <c r="I1312" t="inlineStr">
        <is>
          <t>No</t>
        </is>
      </c>
      <c r="J1312" t="inlineStr">
        <is>
          <t>0</t>
        </is>
      </c>
      <c r="K1312" t="inlineStr">
        <is>
          <t>Buerger, Martin Julian, 1903-1986.</t>
        </is>
      </c>
      <c r="L1312" t="inlineStr">
        <is>
          <t>Huntington, N.Y. : R. E. Krieger, 1977, c1971.</t>
        </is>
      </c>
      <c r="M1312" t="inlineStr">
        <is>
          <t>1977</t>
        </is>
      </c>
      <c r="O1312" t="inlineStr">
        <is>
          <t>eng</t>
        </is>
      </c>
      <c r="P1312" t="inlineStr">
        <is>
          <t>nyu</t>
        </is>
      </c>
      <c r="R1312" t="inlineStr">
        <is>
          <t xml:space="preserve">QD </t>
        </is>
      </c>
      <c r="S1312" t="n">
        <v>3</v>
      </c>
      <c r="T1312" t="n">
        <v>3</v>
      </c>
      <c r="U1312" t="inlineStr">
        <is>
          <t>2001-03-13</t>
        </is>
      </c>
      <c r="V1312" t="inlineStr">
        <is>
          <t>2001-03-13</t>
        </is>
      </c>
      <c r="W1312" t="inlineStr">
        <is>
          <t>1992-03-27</t>
        </is>
      </c>
      <c r="X1312" t="inlineStr">
        <is>
          <t>1992-03-27</t>
        </is>
      </c>
      <c r="Y1312" t="n">
        <v>31</v>
      </c>
      <c r="Z1312" t="n">
        <v>28</v>
      </c>
      <c r="AA1312" t="n">
        <v>333</v>
      </c>
      <c r="AB1312" t="n">
        <v>1</v>
      </c>
      <c r="AC1312" t="n">
        <v>3</v>
      </c>
      <c r="AD1312" t="n">
        <v>0</v>
      </c>
      <c r="AE1312" t="n">
        <v>10</v>
      </c>
      <c r="AF1312" t="n">
        <v>0</v>
      </c>
      <c r="AG1312" t="n">
        <v>3</v>
      </c>
      <c r="AH1312" t="n">
        <v>0</v>
      </c>
      <c r="AI1312" t="n">
        <v>1</v>
      </c>
      <c r="AJ1312" t="n">
        <v>0</v>
      </c>
      <c r="AK1312" t="n">
        <v>5</v>
      </c>
      <c r="AL1312" t="n">
        <v>0</v>
      </c>
      <c r="AM1312" t="n">
        <v>2</v>
      </c>
      <c r="AN1312" t="n">
        <v>0</v>
      </c>
      <c r="AO1312" t="n">
        <v>0</v>
      </c>
      <c r="AP1312" t="inlineStr">
        <is>
          <t>No</t>
        </is>
      </c>
      <c r="AQ1312" t="inlineStr">
        <is>
          <t>No</t>
        </is>
      </c>
      <c r="AS1312">
        <f>HYPERLINK("https://creighton-primo.hosted.exlibrisgroup.com/primo-explore/search?tab=default_tab&amp;search_scope=EVERYTHING&amp;vid=01CRU&amp;lang=en_US&amp;offset=0&amp;query=any,contains,991004270659702656","Catalog Record")</f>
        <v/>
      </c>
      <c r="AT1312">
        <f>HYPERLINK("http://www.worldcat.org/oclc/2875583","WorldCat Record")</f>
        <v/>
      </c>
      <c r="AU1312" t="inlineStr">
        <is>
          <t>1241891:eng</t>
        </is>
      </c>
      <c r="AV1312" t="inlineStr">
        <is>
          <t>2875583</t>
        </is>
      </c>
      <c r="AW1312" t="inlineStr">
        <is>
          <t>991004270659702656</t>
        </is>
      </c>
      <c r="AX1312" t="inlineStr">
        <is>
          <t>991004270659702656</t>
        </is>
      </c>
      <c r="AY1312" t="inlineStr">
        <is>
          <t>2259616370002656</t>
        </is>
      </c>
      <c r="AZ1312" t="inlineStr">
        <is>
          <t>BOOK</t>
        </is>
      </c>
      <c r="BB1312" t="inlineStr">
        <is>
          <t>9780882755571</t>
        </is>
      </c>
      <c r="BC1312" t="inlineStr">
        <is>
          <t>32285001045557</t>
        </is>
      </c>
      <c r="BD1312" t="inlineStr">
        <is>
          <t>893436095</t>
        </is>
      </c>
    </row>
    <row r="1313">
      <c r="A1313" t="inlineStr">
        <is>
          <t>No</t>
        </is>
      </c>
      <c r="B1313" t="inlineStr">
        <is>
          <t>QD911 .G82</t>
        </is>
      </c>
      <c r="C1313" t="inlineStr">
        <is>
          <t>0                      QD 0911000G  82</t>
        </is>
      </c>
      <c r="D1313" t="inlineStr">
        <is>
          <t>Order-disorder phenomena [by] H.S. Green and C.A. Hurst.</t>
        </is>
      </c>
      <c r="F1313" t="inlineStr">
        <is>
          <t>No</t>
        </is>
      </c>
      <c r="G1313" t="inlineStr">
        <is>
          <t>1</t>
        </is>
      </c>
      <c r="H1313" t="inlineStr">
        <is>
          <t>No</t>
        </is>
      </c>
      <c r="I1313" t="inlineStr">
        <is>
          <t>No</t>
        </is>
      </c>
      <c r="J1313" t="inlineStr">
        <is>
          <t>0</t>
        </is>
      </c>
      <c r="K1313" t="inlineStr">
        <is>
          <t>Green, Herbert S.</t>
        </is>
      </c>
      <c r="L1313" t="inlineStr">
        <is>
          <t>London, New York, Interscience Publishers, 1964.</t>
        </is>
      </c>
      <c r="M1313" t="inlineStr">
        <is>
          <t>1964</t>
        </is>
      </c>
      <c r="O1313" t="inlineStr">
        <is>
          <t>eng</t>
        </is>
      </c>
      <c r="P1313" t="inlineStr">
        <is>
          <t>enk</t>
        </is>
      </c>
      <c r="Q1313" t="inlineStr">
        <is>
          <t>Monographs in statistical physics and thermodynamics ; v. 5</t>
        </is>
      </c>
      <c r="R1313" t="inlineStr">
        <is>
          <t xml:space="preserve">QD </t>
        </is>
      </c>
      <c r="S1313" t="n">
        <v>1</v>
      </c>
      <c r="T1313" t="n">
        <v>1</v>
      </c>
      <c r="U1313" t="inlineStr">
        <is>
          <t>2000-10-20</t>
        </is>
      </c>
      <c r="V1313" t="inlineStr">
        <is>
          <t>2000-10-20</t>
        </is>
      </c>
      <c r="W1313" t="inlineStr">
        <is>
          <t>1997-06-19</t>
        </is>
      </c>
      <c r="X1313" t="inlineStr">
        <is>
          <t>1997-06-19</t>
        </is>
      </c>
      <c r="Y1313" t="n">
        <v>333</v>
      </c>
      <c r="Z1313" t="n">
        <v>212</v>
      </c>
      <c r="AA1313" t="n">
        <v>215</v>
      </c>
      <c r="AB1313" t="n">
        <v>2</v>
      </c>
      <c r="AC1313" t="n">
        <v>2</v>
      </c>
      <c r="AD1313" t="n">
        <v>11</v>
      </c>
      <c r="AE1313" t="n">
        <v>11</v>
      </c>
      <c r="AF1313" t="n">
        <v>4</v>
      </c>
      <c r="AG1313" t="n">
        <v>4</v>
      </c>
      <c r="AH1313" t="n">
        <v>5</v>
      </c>
      <c r="AI1313" t="n">
        <v>5</v>
      </c>
      <c r="AJ1313" t="n">
        <v>7</v>
      </c>
      <c r="AK1313" t="n">
        <v>7</v>
      </c>
      <c r="AL1313" t="n">
        <v>1</v>
      </c>
      <c r="AM1313" t="n">
        <v>1</v>
      </c>
      <c r="AN1313" t="n">
        <v>0</v>
      </c>
      <c r="AO1313" t="n">
        <v>0</v>
      </c>
      <c r="AP1313" t="inlineStr">
        <is>
          <t>No</t>
        </is>
      </c>
      <c r="AQ1313" t="inlineStr">
        <is>
          <t>Yes</t>
        </is>
      </c>
      <c r="AR1313">
        <f>HYPERLINK("http://catalog.hathitrust.org/Record/001114460","HathiTrust Record")</f>
        <v/>
      </c>
      <c r="AS1313">
        <f>HYPERLINK("https://creighton-primo.hosted.exlibrisgroup.com/primo-explore/search?tab=default_tab&amp;search_scope=EVERYTHING&amp;vid=01CRU&amp;lang=en_US&amp;offset=0&amp;query=any,contains,991003794749702656","Catalog Record")</f>
        <v/>
      </c>
      <c r="AT1313">
        <f>HYPERLINK("http://www.worldcat.org/oclc/1515761","WorldCat Record")</f>
        <v/>
      </c>
      <c r="AU1313" t="inlineStr">
        <is>
          <t>2346776:eng</t>
        </is>
      </c>
      <c r="AV1313" t="inlineStr">
        <is>
          <t>1515761</t>
        </is>
      </c>
      <c r="AW1313" t="inlineStr">
        <is>
          <t>991003794749702656</t>
        </is>
      </c>
      <c r="AX1313" t="inlineStr">
        <is>
          <t>991003794749702656</t>
        </is>
      </c>
      <c r="AY1313" t="inlineStr">
        <is>
          <t>2264059010002656</t>
        </is>
      </c>
      <c r="AZ1313" t="inlineStr">
        <is>
          <t>BOOK</t>
        </is>
      </c>
      <c r="BC1313" t="inlineStr">
        <is>
          <t>32285002850013</t>
        </is>
      </c>
      <c r="BD1313" t="inlineStr">
        <is>
          <t>893881557</t>
        </is>
      </c>
    </row>
    <row r="1314">
      <c r="A1314" t="inlineStr">
        <is>
          <t>No</t>
        </is>
      </c>
      <c r="B1314" t="inlineStr">
        <is>
          <t>QD921 .G66 v...</t>
        </is>
      </c>
      <c r="C1314" t="inlineStr">
        <is>
          <t>0                      QD 0921000G  66                                                      v...</t>
        </is>
      </c>
      <c r="D1314" t="inlineStr">
        <is>
          <t>Crystal growth : theory and techniques / edited by C. H. L. Goodman.</t>
        </is>
      </c>
      <c r="E1314" t="inlineStr">
        <is>
          <t>V.2</t>
        </is>
      </c>
      <c r="F1314" t="inlineStr">
        <is>
          <t>Yes</t>
        </is>
      </c>
      <c r="G1314" t="inlineStr">
        <is>
          <t>1</t>
        </is>
      </c>
      <c r="H1314" t="inlineStr">
        <is>
          <t>No</t>
        </is>
      </c>
      <c r="I1314" t="inlineStr">
        <is>
          <t>No</t>
        </is>
      </c>
      <c r="J1314" t="inlineStr">
        <is>
          <t>0</t>
        </is>
      </c>
      <c r="K1314" t="inlineStr">
        <is>
          <t>Goodman, C. H. L.</t>
        </is>
      </c>
      <c r="L1314" t="inlineStr">
        <is>
          <t>London ; New York : Plenum Press, [1974-</t>
        </is>
      </c>
      <c r="M1314" t="inlineStr">
        <is>
          <t>1974</t>
        </is>
      </c>
      <c r="O1314" t="inlineStr">
        <is>
          <t>eng</t>
        </is>
      </c>
      <c r="P1314" t="inlineStr">
        <is>
          <t>enk</t>
        </is>
      </c>
      <c r="R1314" t="inlineStr">
        <is>
          <t xml:space="preserve">QD </t>
        </is>
      </c>
      <c r="S1314" t="n">
        <v>0</v>
      </c>
      <c r="T1314" t="n">
        <v>0</v>
      </c>
      <c r="U1314" t="inlineStr">
        <is>
          <t>2006-09-14</t>
        </is>
      </c>
      <c r="V1314" t="inlineStr">
        <is>
          <t>2006-09-14</t>
        </is>
      </c>
      <c r="W1314" t="inlineStr">
        <is>
          <t>1993-02-11</t>
        </is>
      </c>
      <c r="X1314" t="inlineStr">
        <is>
          <t>1993-02-11</t>
        </is>
      </c>
      <c r="Y1314" t="n">
        <v>284</v>
      </c>
      <c r="Z1314" t="n">
        <v>214</v>
      </c>
      <c r="AA1314" t="n">
        <v>230</v>
      </c>
      <c r="AB1314" t="n">
        <v>2</v>
      </c>
      <c r="AC1314" t="n">
        <v>2</v>
      </c>
      <c r="AD1314" t="n">
        <v>5</v>
      </c>
      <c r="AE1314" t="n">
        <v>5</v>
      </c>
      <c r="AF1314" t="n">
        <v>1</v>
      </c>
      <c r="AG1314" t="n">
        <v>1</v>
      </c>
      <c r="AH1314" t="n">
        <v>1</v>
      </c>
      <c r="AI1314" t="n">
        <v>1</v>
      </c>
      <c r="AJ1314" t="n">
        <v>3</v>
      </c>
      <c r="AK1314" t="n">
        <v>3</v>
      </c>
      <c r="AL1314" t="n">
        <v>1</v>
      </c>
      <c r="AM1314" t="n">
        <v>1</v>
      </c>
      <c r="AN1314" t="n">
        <v>0</v>
      </c>
      <c r="AO1314" t="n">
        <v>0</v>
      </c>
      <c r="AP1314" t="inlineStr">
        <is>
          <t>No</t>
        </is>
      </c>
      <c r="AQ1314" t="inlineStr">
        <is>
          <t>Yes</t>
        </is>
      </c>
      <c r="AR1314">
        <f>HYPERLINK("http://catalog.hathitrust.org/Record/007472409","HathiTrust Record")</f>
        <v/>
      </c>
      <c r="AS1314">
        <f>HYPERLINK("https://creighton-primo.hosted.exlibrisgroup.com/primo-explore/search?tab=default_tab&amp;search_scope=EVERYTHING&amp;vid=01CRU&amp;lang=en_US&amp;offset=0&amp;query=any,contains,991003626099702656","Catalog Record")</f>
        <v/>
      </c>
      <c r="AT1314">
        <f>HYPERLINK("http://www.worldcat.org/oclc/1217244","WorldCat Record")</f>
        <v/>
      </c>
      <c r="AU1314" t="inlineStr">
        <is>
          <t>890202475:eng</t>
        </is>
      </c>
      <c r="AV1314" t="inlineStr">
        <is>
          <t>1217244</t>
        </is>
      </c>
      <c r="AW1314" t="inlineStr">
        <is>
          <t>991003626099702656</t>
        </is>
      </c>
      <c r="AX1314" t="inlineStr">
        <is>
          <t>991003626099702656</t>
        </is>
      </c>
      <c r="AY1314" t="inlineStr">
        <is>
          <t>2272250250002656</t>
        </is>
      </c>
      <c r="AZ1314" t="inlineStr">
        <is>
          <t>BOOK</t>
        </is>
      </c>
      <c r="BB1314" t="inlineStr">
        <is>
          <t>9780306361012</t>
        </is>
      </c>
      <c r="BC1314" t="inlineStr">
        <is>
          <t>32285001517860</t>
        </is>
      </c>
      <c r="BD1314" t="inlineStr">
        <is>
          <t>893793831</t>
        </is>
      </c>
    </row>
    <row r="1315">
      <c r="A1315" t="inlineStr">
        <is>
          <t>No</t>
        </is>
      </c>
      <c r="B1315" t="inlineStr">
        <is>
          <t>QD921 .G66 v...</t>
        </is>
      </c>
      <c r="C1315" t="inlineStr">
        <is>
          <t>0                      QD 0921000G  66                                                      v...</t>
        </is>
      </c>
      <c r="D1315" t="inlineStr">
        <is>
          <t>Crystal growth : theory and techniques / edited by C. H. L. Goodman.</t>
        </is>
      </c>
      <c r="E1315" t="inlineStr">
        <is>
          <t>V.1</t>
        </is>
      </c>
      <c r="F1315" t="inlineStr">
        <is>
          <t>Yes</t>
        </is>
      </c>
      <c r="G1315" t="inlineStr">
        <is>
          <t>1</t>
        </is>
      </c>
      <c r="H1315" t="inlineStr">
        <is>
          <t>No</t>
        </is>
      </c>
      <c r="I1315" t="inlineStr">
        <is>
          <t>No</t>
        </is>
      </c>
      <c r="J1315" t="inlineStr">
        <is>
          <t>0</t>
        </is>
      </c>
      <c r="K1315" t="inlineStr">
        <is>
          <t>Goodman, C. H. L.</t>
        </is>
      </c>
      <c r="L1315" t="inlineStr">
        <is>
          <t>London ; New York : Plenum Press, [1974-</t>
        </is>
      </c>
      <c r="M1315" t="inlineStr">
        <is>
          <t>1974</t>
        </is>
      </c>
      <c r="O1315" t="inlineStr">
        <is>
          <t>eng</t>
        </is>
      </c>
      <c r="P1315" t="inlineStr">
        <is>
          <t>enk</t>
        </is>
      </c>
      <c r="R1315" t="inlineStr">
        <is>
          <t xml:space="preserve">QD </t>
        </is>
      </c>
      <c r="S1315" t="n">
        <v>0</v>
      </c>
      <c r="T1315" t="n">
        <v>0</v>
      </c>
      <c r="U1315" t="inlineStr">
        <is>
          <t>2006-09-14</t>
        </is>
      </c>
      <c r="V1315" t="inlineStr">
        <is>
          <t>2006-09-14</t>
        </is>
      </c>
      <c r="W1315" t="inlineStr">
        <is>
          <t>1993-02-11</t>
        </is>
      </c>
      <c r="X1315" t="inlineStr">
        <is>
          <t>1993-02-11</t>
        </is>
      </c>
      <c r="Y1315" t="n">
        <v>284</v>
      </c>
      <c r="Z1315" t="n">
        <v>214</v>
      </c>
      <c r="AA1315" t="n">
        <v>230</v>
      </c>
      <c r="AB1315" t="n">
        <v>2</v>
      </c>
      <c r="AC1315" t="n">
        <v>2</v>
      </c>
      <c r="AD1315" t="n">
        <v>5</v>
      </c>
      <c r="AE1315" t="n">
        <v>5</v>
      </c>
      <c r="AF1315" t="n">
        <v>1</v>
      </c>
      <c r="AG1315" t="n">
        <v>1</v>
      </c>
      <c r="AH1315" t="n">
        <v>1</v>
      </c>
      <c r="AI1315" t="n">
        <v>1</v>
      </c>
      <c r="AJ1315" t="n">
        <v>3</v>
      </c>
      <c r="AK1315" t="n">
        <v>3</v>
      </c>
      <c r="AL1315" t="n">
        <v>1</v>
      </c>
      <c r="AM1315" t="n">
        <v>1</v>
      </c>
      <c r="AN1315" t="n">
        <v>0</v>
      </c>
      <c r="AO1315" t="n">
        <v>0</v>
      </c>
      <c r="AP1315" t="inlineStr">
        <is>
          <t>No</t>
        </is>
      </c>
      <c r="AQ1315" t="inlineStr">
        <is>
          <t>Yes</t>
        </is>
      </c>
      <c r="AR1315">
        <f>HYPERLINK("http://catalog.hathitrust.org/Record/007472409","HathiTrust Record")</f>
        <v/>
      </c>
      <c r="AS1315">
        <f>HYPERLINK("https://creighton-primo.hosted.exlibrisgroup.com/primo-explore/search?tab=default_tab&amp;search_scope=EVERYTHING&amp;vid=01CRU&amp;lang=en_US&amp;offset=0&amp;query=any,contains,991003626099702656","Catalog Record")</f>
        <v/>
      </c>
      <c r="AT1315">
        <f>HYPERLINK("http://www.worldcat.org/oclc/1217244","WorldCat Record")</f>
        <v/>
      </c>
      <c r="AU1315" t="inlineStr">
        <is>
          <t>890202475:eng</t>
        </is>
      </c>
      <c r="AV1315" t="inlineStr">
        <is>
          <t>1217244</t>
        </is>
      </c>
      <c r="AW1315" t="inlineStr">
        <is>
          <t>991003626099702656</t>
        </is>
      </c>
      <c r="AX1315" t="inlineStr">
        <is>
          <t>991003626099702656</t>
        </is>
      </c>
      <c r="AY1315" t="inlineStr">
        <is>
          <t>2272250250002656</t>
        </is>
      </c>
      <c r="AZ1315" t="inlineStr">
        <is>
          <t>BOOK</t>
        </is>
      </c>
      <c r="BB1315" t="inlineStr">
        <is>
          <t>9780306361012</t>
        </is>
      </c>
      <c r="BC1315" t="inlineStr">
        <is>
          <t>32285001517852</t>
        </is>
      </c>
      <c r="BD1315" t="inlineStr">
        <is>
          <t>893810081</t>
        </is>
      </c>
    </row>
    <row r="1316">
      <c r="A1316" t="inlineStr">
        <is>
          <t>No</t>
        </is>
      </c>
      <c r="B1316" t="inlineStr">
        <is>
          <t>QD921 .H93 1989</t>
        </is>
      </c>
      <c r="C1316" t="inlineStr">
        <is>
          <t>0                      QD 0921000H  93          1989</t>
        </is>
      </c>
      <c r="D1316" t="inlineStr">
        <is>
          <t>Inorganic crystal structures / B.G. Hyde, Sten Andersson.</t>
        </is>
      </c>
      <c r="F1316" t="inlineStr">
        <is>
          <t>No</t>
        </is>
      </c>
      <c r="G1316" t="inlineStr">
        <is>
          <t>1</t>
        </is>
      </c>
      <c r="H1316" t="inlineStr">
        <is>
          <t>No</t>
        </is>
      </c>
      <c r="I1316" t="inlineStr">
        <is>
          <t>No</t>
        </is>
      </c>
      <c r="J1316" t="inlineStr">
        <is>
          <t>0</t>
        </is>
      </c>
      <c r="K1316" t="inlineStr">
        <is>
          <t>Hyde, Bruce G.</t>
        </is>
      </c>
      <c r="L1316" t="inlineStr">
        <is>
          <t>New York : Wiley, c1989.</t>
        </is>
      </c>
      <c r="M1316" t="inlineStr">
        <is>
          <t>1989</t>
        </is>
      </c>
      <c r="O1316" t="inlineStr">
        <is>
          <t>eng</t>
        </is>
      </c>
      <c r="P1316" t="inlineStr">
        <is>
          <t>nyu</t>
        </is>
      </c>
      <c r="R1316" t="inlineStr">
        <is>
          <t xml:space="preserve">QD </t>
        </is>
      </c>
      <c r="S1316" t="n">
        <v>1</v>
      </c>
      <c r="T1316" t="n">
        <v>1</v>
      </c>
      <c r="U1316" t="inlineStr">
        <is>
          <t>1993-03-25</t>
        </is>
      </c>
      <c r="V1316" t="inlineStr">
        <is>
          <t>1993-03-25</t>
        </is>
      </c>
      <c r="W1316" t="inlineStr">
        <is>
          <t>1992-03-23</t>
        </is>
      </c>
      <c r="X1316" t="inlineStr">
        <is>
          <t>1992-03-23</t>
        </is>
      </c>
      <c r="Y1316" t="n">
        <v>438</v>
      </c>
      <c r="Z1316" t="n">
        <v>322</v>
      </c>
      <c r="AA1316" t="n">
        <v>326</v>
      </c>
      <c r="AB1316" t="n">
        <v>4</v>
      </c>
      <c r="AC1316" t="n">
        <v>4</v>
      </c>
      <c r="AD1316" t="n">
        <v>14</v>
      </c>
      <c r="AE1316" t="n">
        <v>14</v>
      </c>
      <c r="AF1316" t="n">
        <v>4</v>
      </c>
      <c r="AG1316" t="n">
        <v>4</v>
      </c>
      <c r="AH1316" t="n">
        <v>4</v>
      </c>
      <c r="AI1316" t="n">
        <v>4</v>
      </c>
      <c r="AJ1316" t="n">
        <v>6</v>
      </c>
      <c r="AK1316" t="n">
        <v>6</v>
      </c>
      <c r="AL1316" t="n">
        <v>3</v>
      </c>
      <c r="AM1316" t="n">
        <v>3</v>
      </c>
      <c r="AN1316" t="n">
        <v>0</v>
      </c>
      <c r="AO1316" t="n">
        <v>0</v>
      </c>
      <c r="AP1316" t="inlineStr">
        <is>
          <t>No</t>
        </is>
      </c>
      <c r="AQ1316" t="inlineStr">
        <is>
          <t>Yes</t>
        </is>
      </c>
      <c r="AR1316">
        <f>HYPERLINK("http://catalog.hathitrust.org/Record/001080300","HathiTrust Record")</f>
        <v/>
      </c>
      <c r="AS1316">
        <f>HYPERLINK("https://creighton-primo.hosted.exlibrisgroup.com/primo-explore/search?tab=default_tab&amp;search_scope=EVERYTHING&amp;vid=01CRU&amp;lang=en_US&amp;offset=0&amp;query=any,contains,991001244749702656","Catalog Record")</f>
        <v/>
      </c>
      <c r="AT1316">
        <f>HYPERLINK("http://www.worldcat.org/oclc/17649145","WorldCat Record")</f>
        <v/>
      </c>
      <c r="AU1316" t="inlineStr">
        <is>
          <t>16228942:eng</t>
        </is>
      </c>
      <c r="AV1316" t="inlineStr">
        <is>
          <t>17649145</t>
        </is>
      </c>
      <c r="AW1316" t="inlineStr">
        <is>
          <t>991001244749702656</t>
        </is>
      </c>
      <c r="AX1316" t="inlineStr">
        <is>
          <t>991001244749702656</t>
        </is>
      </c>
      <c r="AY1316" t="inlineStr">
        <is>
          <t>2259179340002656</t>
        </is>
      </c>
      <c r="AZ1316" t="inlineStr">
        <is>
          <t>BOOK</t>
        </is>
      </c>
      <c r="BB1316" t="inlineStr">
        <is>
          <t>9780471628972</t>
        </is>
      </c>
      <c r="BC1316" t="inlineStr">
        <is>
          <t>32285001026771</t>
        </is>
      </c>
      <c r="BD1316" t="inlineStr">
        <is>
          <t>893231834</t>
        </is>
      </c>
    </row>
    <row r="1317">
      <c r="A1317" t="inlineStr">
        <is>
          <t>No</t>
        </is>
      </c>
      <c r="B1317" t="inlineStr">
        <is>
          <t>QD921 .K52</t>
        </is>
      </c>
      <c r="C1317" t="inlineStr">
        <is>
          <t>0                      QD 0921000K  52</t>
        </is>
      </c>
      <c r="D1317" t="inlineStr">
        <is>
          <t>Patterns in crystals / Noel F. Kennon.</t>
        </is>
      </c>
      <c r="F1317" t="inlineStr">
        <is>
          <t>No</t>
        </is>
      </c>
      <c r="G1317" t="inlineStr">
        <is>
          <t>1</t>
        </is>
      </c>
      <c r="H1317" t="inlineStr">
        <is>
          <t>No</t>
        </is>
      </c>
      <c r="I1317" t="inlineStr">
        <is>
          <t>No</t>
        </is>
      </c>
      <c r="J1317" t="inlineStr">
        <is>
          <t>0</t>
        </is>
      </c>
      <c r="K1317" t="inlineStr">
        <is>
          <t>Kennon, Noel F.</t>
        </is>
      </c>
      <c r="L1317" t="inlineStr">
        <is>
          <t>Chichester [Eng.] ; New York : Wiley, c1978.</t>
        </is>
      </c>
      <c r="M1317" t="inlineStr">
        <is>
          <t>1978</t>
        </is>
      </c>
      <c r="O1317" t="inlineStr">
        <is>
          <t>eng</t>
        </is>
      </c>
      <c r="P1317" t="inlineStr">
        <is>
          <t>enk</t>
        </is>
      </c>
      <c r="R1317" t="inlineStr">
        <is>
          <t xml:space="preserve">QD </t>
        </is>
      </c>
      <c r="S1317" t="n">
        <v>2</v>
      </c>
      <c r="T1317" t="n">
        <v>2</v>
      </c>
      <c r="U1317" t="inlineStr">
        <is>
          <t>1992-05-15</t>
        </is>
      </c>
      <c r="V1317" t="inlineStr">
        <is>
          <t>1992-05-15</t>
        </is>
      </c>
      <c r="W1317" t="inlineStr">
        <is>
          <t>1991-12-11</t>
        </is>
      </c>
      <c r="X1317" t="inlineStr">
        <is>
          <t>1991-12-11</t>
        </is>
      </c>
      <c r="Y1317" t="n">
        <v>370</v>
      </c>
      <c r="Z1317" t="n">
        <v>247</v>
      </c>
      <c r="AA1317" t="n">
        <v>261</v>
      </c>
      <c r="AB1317" t="n">
        <v>3</v>
      </c>
      <c r="AC1317" t="n">
        <v>3</v>
      </c>
      <c r="AD1317" t="n">
        <v>13</v>
      </c>
      <c r="AE1317" t="n">
        <v>13</v>
      </c>
      <c r="AF1317" t="n">
        <v>1</v>
      </c>
      <c r="AG1317" t="n">
        <v>1</v>
      </c>
      <c r="AH1317" t="n">
        <v>4</v>
      </c>
      <c r="AI1317" t="n">
        <v>4</v>
      </c>
      <c r="AJ1317" t="n">
        <v>9</v>
      </c>
      <c r="AK1317" t="n">
        <v>9</v>
      </c>
      <c r="AL1317" t="n">
        <v>2</v>
      </c>
      <c r="AM1317" t="n">
        <v>2</v>
      </c>
      <c r="AN1317" t="n">
        <v>0</v>
      </c>
      <c r="AO1317" t="n">
        <v>0</v>
      </c>
      <c r="AP1317" t="inlineStr">
        <is>
          <t>No</t>
        </is>
      </c>
      <c r="AQ1317" t="inlineStr">
        <is>
          <t>Yes</t>
        </is>
      </c>
      <c r="AR1317">
        <f>HYPERLINK("http://catalog.hathitrust.org/Record/006958219","HathiTrust Record")</f>
        <v/>
      </c>
      <c r="AS1317">
        <f>HYPERLINK("https://creighton-primo.hosted.exlibrisgroup.com/primo-explore/search?tab=default_tab&amp;search_scope=EVERYTHING&amp;vid=01CRU&amp;lang=en_US&amp;offset=0&amp;query=any,contains,991004507929702656","Catalog Record")</f>
        <v/>
      </c>
      <c r="AT1317">
        <f>HYPERLINK("http://www.worldcat.org/oclc/3748392","WorldCat Record")</f>
        <v/>
      </c>
      <c r="AU1317" t="inlineStr">
        <is>
          <t>12878318:eng</t>
        </is>
      </c>
      <c r="AV1317" t="inlineStr">
        <is>
          <t>3748392</t>
        </is>
      </c>
      <c r="AW1317" t="inlineStr">
        <is>
          <t>991004507929702656</t>
        </is>
      </c>
      <c r="AX1317" t="inlineStr">
        <is>
          <t>991004507929702656</t>
        </is>
      </c>
      <c r="AY1317" t="inlineStr">
        <is>
          <t>2269198690002656</t>
        </is>
      </c>
      <c r="AZ1317" t="inlineStr">
        <is>
          <t>BOOK</t>
        </is>
      </c>
      <c r="BB1317" t="inlineStr">
        <is>
          <t>9780471997481</t>
        </is>
      </c>
      <c r="BC1317" t="inlineStr">
        <is>
          <t>32285000890540</t>
        </is>
      </c>
      <c r="BD1317" t="inlineStr">
        <is>
          <t>893259797</t>
        </is>
      </c>
    </row>
    <row r="1318">
      <c r="A1318" t="inlineStr">
        <is>
          <t>No</t>
        </is>
      </c>
      <c r="B1318" t="inlineStr">
        <is>
          <t>QD921 .P36</t>
        </is>
      </c>
      <c r="C1318" t="inlineStr">
        <is>
          <t>0                      QD 0921000P  36</t>
        </is>
      </c>
      <c r="D1318" t="inlineStr">
        <is>
          <t>The crystal chemistry and physics of metals and alloys [by] W. B. Pearson.</t>
        </is>
      </c>
      <c r="F1318" t="inlineStr">
        <is>
          <t>No</t>
        </is>
      </c>
      <c r="G1318" t="inlineStr">
        <is>
          <t>1</t>
        </is>
      </c>
      <c r="H1318" t="inlineStr">
        <is>
          <t>No</t>
        </is>
      </c>
      <c r="I1318" t="inlineStr">
        <is>
          <t>No</t>
        </is>
      </c>
      <c r="J1318" t="inlineStr">
        <is>
          <t>0</t>
        </is>
      </c>
      <c r="K1318" t="inlineStr">
        <is>
          <t>Pearson, W. B. (William Burton)</t>
        </is>
      </c>
      <c r="L1318" t="inlineStr">
        <is>
          <t>New York, Wiley-Interscience [1972]</t>
        </is>
      </c>
      <c r="M1318" t="inlineStr">
        <is>
          <t>1972</t>
        </is>
      </c>
      <c r="O1318" t="inlineStr">
        <is>
          <t>eng</t>
        </is>
      </c>
      <c r="P1318" t="inlineStr">
        <is>
          <t>nyu</t>
        </is>
      </c>
      <c r="Q1318" t="inlineStr">
        <is>
          <t>Wiley series on the science and technology of materials</t>
        </is>
      </c>
      <c r="R1318" t="inlineStr">
        <is>
          <t xml:space="preserve">QD </t>
        </is>
      </c>
      <c r="S1318" t="n">
        <v>3</v>
      </c>
      <c r="T1318" t="n">
        <v>3</v>
      </c>
      <c r="U1318" t="inlineStr">
        <is>
          <t>1999-11-07</t>
        </is>
      </c>
      <c r="V1318" t="inlineStr">
        <is>
          <t>1999-11-07</t>
        </is>
      </c>
      <c r="W1318" t="inlineStr">
        <is>
          <t>1997-06-19</t>
        </is>
      </c>
      <c r="X1318" t="inlineStr">
        <is>
          <t>1997-06-19</t>
        </is>
      </c>
      <c r="Y1318" t="n">
        <v>351</v>
      </c>
      <c r="Z1318" t="n">
        <v>233</v>
      </c>
      <c r="AA1318" t="n">
        <v>235</v>
      </c>
      <c r="AB1318" t="n">
        <v>3</v>
      </c>
      <c r="AC1318" t="n">
        <v>3</v>
      </c>
      <c r="AD1318" t="n">
        <v>8</v>
      </c>
      <c r="AE1318" t="n">
        <v>8</v>
      </c>
      <c r="AF1318" t="n">
        <v>2</v>
      </c>
      <c r="AG1318" t="n">
        <v>2</v>
      </c>
      <c r="AH1318" t="n">
        <v>2</v>
      </c>
      <c r="AI1318" t="n">
        <v>2</v>
      </c>
      <c r="AJ1318" t="n">
        <v>4</v>
      </c>
      <c r="AK1318" t="n">
        <v>4</v>
      </c>
      <c r="AL1318" t="n">
        <v>2</v>
      </c>
      <c r="AM1318" t="n">
        <v>2</v>
      </c>
      <c r="AN1318" t="n">
        <v>0</v>
      </c>
      <c r="AO1318" t="n">
        <v>0</v>
      </c>
      <c r="AP1318" t="inlineStr">
        <is>
          <t>No</t>
        </is>
      </c>
      <c r="AQ1318" t="inlineStr">
        <is>
          <t>Yes</t>
        </is>
      </c>
      <c r="AR1318">
        <f>HYPERLINK("http://catalog.hathitrust.org/Record/001035476","HathiTrust Record")</f>
        <v/>
      </c>
      <c r="AS1318">
        <f>HYPERLINK("https://creighton-primo.hosted.exlibrisgroup.com/primo-explore/search?tab=default_tab&amp;search_scope=EVERYTHING&amp;vid=01CRU&amp;lang=en_US&amp;offset=0&amp;query=any,contains,991002341939702656","Catalog Record")</f>
        <v/>
      </c>
      <c r="AT1318">
        <f>HYPERLINK("http://www.worldcat.org/oclc/323681","WorldCat Record")</f>
        <v/>
      </c>
      <c r="AU1318" t="inlineStr">
        <is>
          <t>1407699:eng</t>
        </is>
      </c>
      <c r="AV1318" t="inlineStr">
        <is>
          <t>323681</t>
        </is>
      </c>
      <c r="AW1318" t="inlineStr">
        <is>
          <t>991002341939702656</t>
        </is>
      </c>
      <c r="AX1318" t="inlineStr">
        <is>
          <t>991002341939702656</t>
        </is>
      </c>
      <c r="AY1318" t="inlineStr">
        <is>
          <t>2256598180002656</t>
        </is>
      </c>
      <c r="AZ1318" t="inlineStr">
        <is>
          <t>BOOK</t>
        </is>
      </c>
      <c r="BB1318" t="inlineStr">
        <is>
          <t>9780471675402</t>
        </is>
      </c>
      <c r="BC1318" t="inlineStr">
        <is>
          <t>32285002850195</t>
        </is>
      </c>
      <c r="BD1318" t="inlineStr">
        <is>
          <t>893691505</t>
        </is>
      </c>
    </row>
    <row r="1319">
      <c r="A1319" t="inlineStr">
        <is>
          <t>No</t>
        </is>
      </c>
      <c r="B1319" t="inlineStr">
        <is>
          <t>QD921 .V313 1964</t>
        </is>
      </c>
      <c r="C1319" t="inlineStr">
        <is>
          <t>0                      QD 0921000V  313         1964</t>
        </is>
      </c>
      <c r="D1319" t="inlineStr">
        <is>
          <t>Structure analysis by electron diffraction / B.K. Vainshtein. Translated and edited by E. Feigl and J.A. Spink.</t>
        </is>
      </c>
      <c r="F1319" t="inlineStr">
        <is>
          <t>No</t>
        </is>
      </c>
      <c r="G1319" t="inlineStr">
        <is>
          <t>1</t>
        </is>
      </c>
      <c r="H1319" t="inlineStr">
        <is>
          <t>No</t>
        </is>
      </c>
      <c r="I1319" t="inlineStr">
        <is>
          <t>No</t>
        </is>
      </c>
      <c r="J1319" t="inlineStr">
        <is>
          <t>0</t>
        </is>
      </c>
      <c r="K1319" t="inlineStr">
        <is>
          <t>Vaĭnshteĭn, B. K. (Boris Konstantinovich), 1921-</t>
        </is>
      </c>
      <c r="L1319" t="inlineStr">
        <is>
          <t>New York : Macmillan Co., 1964.</t>
        </is>
      </c>
      <c r="M1319" t="inlineStr">
        <is>
          <t>1964</t>
        </is>
      </c>
      <c r="O1319" t="inlineStr">
        <is>
          <t>eng</t>
        </is>
      </c>
      <c r="P1319" t="inlineStr">
        <is>
          <t>nyu</t>
        </is>
      </c>
      <c r="R1319" t="inlineStr">
        <is>
          <t xml:space="preserve">QD </t>
        </is>
      </c>
      <c r="S1319" t="n">
        <v>2</v>
      </c>
      <c r="T1319" t="n">
        <v>2</v>
      </c>
      <c r="U1319" t="inlineStr">
        <is>
          <t>1995-03-29</t>
        </is>
      </c>
      <c r="V1319" t="inlineStr">
        <is>
          <t>1995-03-29</t>
        </is>
      </c>
      <c r="W1319" t="inlineStr">
        <is>
          <t>1992-03-24</t>
        </is>
      </c>
      <c r="X1319" t="inlineStr">
        <is>
          <t>1992-03-24</t>
        </is>
      </c>
      <c r="Y1319" t="n">
        <v>94</v>
      </c>
      <c r="Z1319" t="n">
        <v>79</v>
      </c>
      <c r="AA1319" t="n">
        <v>243</v>
      </c>
      <c r="AB1319" t="n">
        <v>2</v>
      </c>
      <c r="AC1319" t="n">
        <v>3</v>
      </c>
      <c r="AD1319" t="n">
        <v>2</v>
      </c>
      <c r="AE1319" t="n">
        <v>11</v>
      </c>
      <c r="AF1319" t="n">
        <v>0</v>
      </c>
      <c r="AG1319" t="n">
        <v>2</v>
      </c>
      <c r="AH1319" t="n">
        <v>1</v>
      </c>
      <c r="AI1319" t="n">
        <v>5</v>
      </c>
      <c r="AJ1319" t="n">
        <v>1</v>
      </c>
      <c r="AK1319" t="n">
        <v>5</v>
      </c>
      <c r="AL1319" t="n">
        <v>1</v>
      </c>
      <c r="AM1319" t="n">
        <v>2</v>
      </c>
      <c r="AN1319" t="n">
        <v>0</v>
      </c>
      <c r="AO1319" t="n">
        <v>0</v>
      </c>
      <c r="AP1319" t="inlineStr">
        <is>
          <t>No</t>
        </is>
      </c>
      <c r="AQ1319" t="inlineStr">
        <is>
          <t>Yes</t>
        </is>
      </c>
      <c r="AR1319">
        <f>HYPERLINK("http://catalog.hathitrust.org/Record/001427563","HathiTrust Record")</f>
        <v/>
      </c>
      <c r="AS1319">
        <f>HYPERLINK("https://creighton-primo.hosted.exlibrisgroup.com/primo-explore/search?tab=default_tab&amp;search_scope=EVERYTHING&amp;vid=01CRU&amp;lang=en_US&amp;offset=0&amp;query=any,contains,991004368539702656","Catalog Record")</f>
        <v/>
      </c>
      <c r="AT1319">
        <f>HYPERLINK("http://www.worldcat.org/oclc/3182731","WorldCat Record")</f>
        <v/>
      </c>
      <c r="AU1319" t="inlineStr">
        <is>
          <t>3414772:eng</t>
        </is>
      </c>
      <c r="AV1319" t="inlineStr">
        <is>
          <t>3182731</t>
        </is>
      </c>
      <c r="AW1319" t="inlineStr">
        <is>
          <t>991004368539702656</t>
        </is>
      </c>
      <c r="AX1319" t="inlineStr">
        <is>
          <t>991004368539702656</t>
        </is>
      </c>
      <c r="AY1319" t="inlineStr">
        <is>
          <t>2262090390002656</t>
        </is>
      </c>
      <c r="AZ1319" t="inlineStr">
        <is>
          <t>BOOK</t>
        </is>
      </c>
      <c r="BC1319" t="inlineStr">
        <is>
          <t>32285001026763</t>
        </is>
      </c>
      <c r="BD1319" t="inlineStr">
        <is>
          <t>893599763</t>
        </is>
      </c>
    </row>
    <row r="1320">
      <c r="A1320" t="inlineStr">
        <is>
          <t>No</t>
        </is>
      </c>
      <c r="B1320" t="inlineStr">
        <is>
          <t>QD921 .Y63 2006</t>
        </is>
      </c>
      <c r="C1320" t="inlineStr">
        <is>
          <t>0                      QD 0921000Y  63          2006</t>
        </is>
      </c>
      <c r="D1320" t="inlineStr">
        <is>
          <t>Ionic compounds : applications of chemistry to mineralogy / Claude H. Yoder.</t>
        </is>
      </c>
      <c r="F1320" t="inlineStr">
        <is>
          <t>No</t>
        </is>
      </c>
      <c r="G1320" t="inlineStr">
        <is>
          <t>1</t>
        </is>
      </c>
      <c r="H1320" t="inlineStr">
        <is>
          <t>No</t>
        </is>
      </c>
      <c r="I1320" t="inlineStr">
        <is>
          <t>No</t>
        </is>
      </c>
      <c r="J1320" t="inlineStr">
        <is>
          <t>0</t>
        </is>
      </c>
      <c r="K1320" t="inlineStr">
        <is>
          <t>Yoder, Claude H.</t>
        </is>
      </c>
      <c r="L1320" t="inlineStr">
        <is>
          <t>Hoboken, N.J. : Wiley-Interscience, c2006.</t>
        </is>
      </c>
      <c r="M1320" t="inlineStr">
        <is>
          <t>2006</t>
        </is>
      </c>
      <c r="O1320" t="inlineStr">
        <is>
          <t>eng</t>
        </is>
      </c>
      <c r="P1320" t="inlineStr">
        <is>
          <t>nju</t>
        </is>
      </c>
      <c r="R1320" t="inlineStr">
        <is>
          <t xml:space="preserve">QD </t>
        </is>
      </c>
      <c r="S1320" t="n">
        <v>3</v>
      </c>
      <c r="T1320" t="n">
        <v>3</v>
      </c>
      <c r="U1320" t="inlineStr">
        <is>
          <t>2008-10-06</t>
        </is>
      </c>
      <c r="V1320" t="inlineStr">
        <is>
          <t>2008-10-06</t>
        </is>
      </c>
      <c r="W1320" t="inlineStr">
        <is>
          <t>2007-02-08</t>
        </is>
      </c>
      <c r="X1320" t="inlineStr">
        <is>
          <t>2007-02-08</t>
        </is>
      </c>
      <c r="Y1320" t="n">
        <v>268</v>
      </c>
      <c r="Z1320" t="n">
        <v>212</v>
      </c>
      <c r="AA1320" t="n">
        <v>277</v>
      </c>
      <c r="AB1320" t="n">
        <v>2</v>
      </c>
      <c r="AC1320" t="n">
        <v>2</v>
      </c>
      <c r="AD1320" t="n">
        <v>6</v>
      </c>
      <c r="AE1320" t="n">
        <v>6</v>
      </c>
      <c r="AF1320" t="n">
        <v>0</v>
      </c>
      <c r="AG1320" t="n">
        <v>0</v>
      </c>
      <c r="AH1320" t="n">
        <v>2</v>
      </c>
      <c r="AI1320" t="n">
        <v>2</v>
      </c>
      <c r="AJ1320" t="n">
        <v>5</v>
      </c>
      <c r="AK1320" t="n">
        <v>5</v>
      </c>
      <c r="AL1320" t="n">
        <v>1</v>
      </c>
      <c r="AM1320" t="n">
        <v>1</v>
      </c>
      <c r="AN1320" t="n">
        <v>0</v>
      </c>
      <c r="AO1320" t="n">
        <v>0</v>
      </c>
      <c r="AP1320" t="inlineStr">
        <is>
          <t>No</t>
        </is>
      </c>
      <c r="AQ1320" t="inlineStr">
        <is>
          <t>No</t>
        </is>
      </c>
      <c r="AS1320">
        <f>HYPERLINK("https://creighton-primo.hosted.exlibrisgroup.com/primo-explore/search?tab=default_tab&amp;search_scope=EVERYTHING&amp;vid=01CRU&amp;lang=en_US&amp;offset=0&amp;query=any,contains,991005014139702656","Catalog Record")</f>
        <v/>
      </c>
      <c r="AT1320">
        <f>HYPERLINK("http://www.worldcat.org/oclc/67346114","WorldCat Record")</f>
        <v/>
      </c>
      <c r="AU1320" t="inlineStr">
        <is>
          <t>797225190:eng</t>
        </is>
      </c>
      <c r="AV1320" t="inlineStr">
        <is>
          <t>67346114</t>
        </is>
      </c>
      <c r="AW1320" t="inlineStr">
        <is>
          <t>991005014139702656</t>
        </is>
      </c>
      <c r="AX1320" t="inlineStr">
        <is>
          <t>991005014139702656</t>
        </is>
      </c>
      <c r="AY1320" t="inlineStr">
        <is>
          <t>2270633080002656</t>
        </is>
      </c>
      <c r="AZ1320" t="inlineStr">
        <is>
          <t>BOOK</t>
        </is>
      </c>
      <c r="BB1320" t="inlineStr">
        <is>
          <t>9780471740469</t>
        </is>
      </c>
      <c r="BC1320" t="inlineStr">
        <is>
          <t>32285005275002</t>
        </is>
      </c>
      <c r="BD1320" t="inlineStr">
        <is>
          <t>893533032</t>
        </is>
      </c>
    </row>
    <row r="1321">
      <c r="A1321" t="inlineStr">
        <is>
          <t>No</t>
        </is>
      </c>
      <c r="B1321" t="inlineStr">
        <is>
          <t>QD923 .C635 1997</t>
        </is>
      </c>
      <c r="C1321" t="inlineStr">
        <is>
          <t>0                      QD 0923000C  635         1997</t>
        </is>
      </c>
      <c r="D1321" t="inlineStr">
        <is>
          <t>Introduction to liquid crystals chemistry and physics / by Peter J. Collings and Michael Hird.</t>
        </is>
      </c>
      <c r="F1321" t="inlineStr">
        <is>
          <t>No</t>
        </is>
      </c>
      <c r="G1321" t="inlineStr">
        <is>
          <t>1</t>
        </is>
      </c>
      <c r="H1321" t="inlineStr">
        <is>
          <t>No</t>
        </is>
      </c>
      <c r="I1321" t="inlineStr">
        <is>
          <t>No</t>
        </is>
      </c>
      <c r="J1321" t="inlineStr">
        <is>
          <t>0</t>
        </is>
      </c>
      <c r="K1321" t="inlineStr">
        <is>
          <t>Collings, Peter J., 1947-</t>
        </is>
      </c>
      <c r="L1321" t="inlineStr">
        <is>
          <t>London ; Bristol, PA : Taylor &amp; Francis, c1997.</t>
        </is>
      </c>
      <c r="M1321" t="inlineStr">
        <is>
          <t>1997</t>
        </is>
      </c>
      <c r="O1321" t="inlineStr">
        <is>
          <t>eng</t>
        </is>
      </c>
      <c r="P1321" t="inlineStr">
        <is>
          <t>enk</t>
        </is>
      </c>
      <c r="Q1321" t="inlineStr">
        <is>
          <t>The liquid crystals book series</t>
        </is>
      </c>
      <c r="R1321" t="inlineStr">
        <is>
          <t xml:space="preserve">QD </t>
        </is>
      </c>
      <c r="S1321" t="n">
        <v>2</v>
      </c>
      <c r="T1321" t="n">
        <v>2</v>
      </c>
      <c r="U1321" t="inlineStr">
        <is>
          <t>2005-03-30</t>
        </is>
      </c>
      <c r="V1321" t="inlineStr">
        <is>
          <t>2005-03-30</t>
        </is>
      </c>
      <c r="W1321" t="inlineStr">
        <is>
          <t>1998-09-09</t>
        </is>
      </c>
      <c r="X1321" t="inlineStr">
        <is>
          <t>1998-09-09</t>
        </is>
      </c>
      <c r="Y1321" t="n">
        <v>288</v>
      </c>
      <c r="Z1321" t="n">
        <v>171</v>
      </c>
      <c r="AA1321" t="n">
        <v>263</v>
      </c>
      <c r="AB1321" t="n">
        <v>1</v>
      </c>
      <c r="AC1321" t="n">
        <v>1</v>
      </c>
      <c r="AD1321" t="n">
        <v>4</v>
      </c>
      <c r="AE1321" t="n">
        <v>5</v>
      </c>
      <c r="AF1321" t="n">
        <v>1</v>
      </c>
      <c r="AG1321" t="n">
        <v>1</v>
      </c>
      <c r="AH1321" t="n">
        <v>1</v>
      </c>
      <c r="AI1321" t="n">
        <v>2</v>
      </c>
      <c r="AJ1321" t="n">
        <v>2</v>
      </c>
      <c r="AK1321" t="n">
        <v>3</v>
      </c>
      <c r="AL1321" t="n">
        <v>0</v>
      </c>
      <c r="AM1321" t="n">
        <v>0</v>
      </c>
      <c r="AN1321" t="n">
        <v>0</v>
      </c>
      <c r="AO1321" t="n">
        <v>0</v>
      </c>
      <c r="AP1321" t="inlineStr">
        <is>
          <t>No</t>
        </is>
      </c>
      <c r="AQ1321" t="inlineStr">
        <is>
          <t>No</t>
        </is>
      </c>
      <c r="AS1321">
        <f>HYPERLINK("https://creighton-primo.hosted.exlibrisgroup.com/primo-explore/search?tab=default_tab&amp;search_scope=EVERYTHING&amp;vid=01CRU&amp;lang=en_US&amp;offset=0&amp;query=any,contains,991002824929702656","Catalog Record")</f>
        <v/>
      </c>
      <c r="AT1321">
        <f>HYPERLINK("http://www.worldcat.org/oclc/37192394","WorldCat Record")</f>
        <v/>
      </c>
      <c r="AU1321" t="inlineStr">
        <is>
          <t>584092:eng</t>
        </is>
      </c>
      <c r="AV1321" t="inlineStr">
        <is>
          <t>37192394</t>
        </is>
      </c>
      <c r="AW1321" t="inlineStr">
        <is>
          <t>991002824929702656</t>
        </is>
      </c>
      <c r="AX1321" t="inlineStr">
        <is>
          <t>991002824929702656</t>
        </is>
      </c>
      <c r="AY1321" t="inlineStr">
        <is>
          <t>2271110970002656</t>
        </is>
      </c>
      <c r="AZ1321" t="inlineStr">
        <is>
          <t>BOOK</t>
        </is>
      </c>
      <c r="BB1321" t="inlineStr">
        <is>
          <t>9780748404834</t>
        </is>
      </c>
      <c r="BC1321" t="inlineStr">
        <is>
          <t>32285003466603</t>
        </is>
      </c>
      <c r="BD1321" t="inlineStr">
        <is>
          <t>893530525</t>
        </is>
      </c>
    </row>
    <row r="1322">
      <c r="A1322" t="inlineStr">
        <is>
          <t>No</t>
        </is>
      </c>
      <c r="B1322" t="inlineStr">
        <is>
          <t>QD923 .C638 2002</t>
        </is>
      </c>
      <c r="C1322" t="inlineStr">
        <is>
          <t>0                      QD 0923000C  638         2002</t>
        </is>
      </c>
      <c r="D1322" t="inlineStr">
        <is>
          <t>Liquid crystals : nature's delicate phase of matter / Peter J. Collings.</t>
        </is>
      </c>
      <c r="F1322" t="inlineStr">
        <is>
          <t>No</t>
        </is>
      </c>
      <c r="G1322" t="inlineStr">
        <is>
          <t>1</t>
        </is>
      </c>
      <c r="H1322" t="inlineStr">
        <is>
          <t>No</t>
        </is>
      </c>
      <c r="I1322" t="inlineStr">
        <is>
          <t>No</t>
        </is>
      </c>
      <c r="J1322" t="inlineStr">
        <is>
          <t>0</t>
        </is>
      </c>
      <c r="K1322" t="inlineStr">
        <is>
          <t>Collings, Peter J., 1947-</t>
        </is>
      </c>
      <c r="L1322" t="inlineStr">
        <is>
          <t>Princeton, N.J. : Princeton University Press, 2002.</t>
        </is>
      </c>
      <c r="M1322" t="inlineStr">
        <is>
          <t>2002</t>
        </is>
      </c>
      <c r="N1322" t="inlineStr">
        <is>
          <t>2nd ed.</t>
        </is>
      </c>
      <c r="O1322" t="inlineStr">
        <is>
          <t>eng</t>
        </is>
      </c>
      <c r="P1322" t="inlineStr">
        <is>
          <t>nju</t>
        </is>
      </c>
      <c r="R1322" t="inlineStr">
        <is>
          <t xml:space="preserve">QD </t>
        </is>
      </c>
      <c r="S1322" t="n">
        <v>4</v>
      </c>
      <c r="T1322" t="n">
        <v>4</v>
      </c>
      <c r="U1322" t="inlineStr">
        <is>
          <t>2005-03-30</t>
        </is>
      </c>
      <c r="V1322" t="inlineStr">
        <is>
          <t>2005-03-30</t>
        </is>
      </c>
      <c r="W1322" t="inlineStr">
        <is>
          <t>2002-03-27</t>
        </is>
      </c>
      <c r="X1322" t="inlineStr">
        <is>
          <t>2002-03-27</t>
        </is>
      </c>
      <c r="Y1322" t="n">
        <v>705</v>
      </c>
      <c r="Z1322" t="n">
        <v>617</v>
      </c>
      <c r="AA1322" t="n">
        <v>945</v>
      </c>
      <c r="AB1322" t="n">
        <v>3</v>
      </c>
      <c r="AC1322" t="n">
        <v>5</v>
      </c>
      <c r="AD1322" t="n">
        <v>26</v>
      </c>
      <c r="AE1322" t="n">
        <v>38</v>
      </c>
      <c r="AF1322" t="n">
        <v>12</v>
      </c>
      <c r="AG1322" t="n">
        <v>16</v>
      </c>
      <c r="AH1322" t="n">
        <v>5</v>
      </c>
      <c r="AI1322" t="n">
        <v>7</v>
      </c>
      <c r="AJ1322" t="n">
        <v>13</v>
      </c>
      <c r="AK1322" t="n">
        <v>20</v>
      </c>
      <c r="AL1322" t="n">
        <v>2</v>
      </c>
      <c r="AM1322" t="n">
        <v>4</v>
      </c>
      <c r="AN1322" t="n">
        <v>0</v>
      </c>
      <c r="AO1322" t="n">
        <v>0</v>
      </c>
      <c r="AP1322" t="inlineStr">
        <is>
          <t>No</t>
        </is>
      </c>
      <c r="AQ1322" t="inlineStr">
        <is>
          <t>No</t>
        </is>
      </c>
      <c r="AS1322">
        <f>HYPERLINK("https://creighton-primo.hosted.exlibrisgroup.com/primo-explore/search?tab=default_tab&amp;search_scope=EVERYTHING&amp;vid=01CRU&amp;lang=en_US&amp;offset=0&amp;query=any,contains,991003743079702656","Catalog Record")</f>
        <v/>
      </c>
      <c r="AT1322">
        <f>HYPERLINK("http://www.worldcat.org/oclc/47995720","WorldCat Record")</f>
        <v/>
      </c>
      <c r="AU1322" t="inlineStr">
        <is>
          <t>892820:eng</t>
        </is>
      </c>
      <c r="AV1322" t="inlineStr">
        <is>
          <t>47995720</t>
        </is>
      </c>
      <c r="AW1322" t="inlineStr">
        <is>
          <t>991003743079702656</t>
        </is>
      </c>
      <c r="AX1322" t="inlineStr">
        <is>
          <t>991003743079702656</t>
        </is>
      </c>
      <c r="AY1322" t="inlineStr">
        <is>
          <t>2272231370002656</t>
        </is>
      </c>
      <c r="AZ1322" t="inlineStr">
        <is>
          <t>BOOK</t>
        </is>
      </c>
      <c r="BB1322" t="inlineStr">
        <is>
          <t>9780691086729</t>
        </is>
      </c>
      <c r="BC1322" t="inlineStr">
        <is>
          <t>32285004464904</t>
        </is>
      </c>
      <c r="BD1322" t="inlineStr">
        <is>
          <t>893693102</t>
        </is>
      </c>
    </row>
    <row r="1323">
      <c r="A1323" t="inlineStr">
        <is>
          <t>No</t>
        </is>
      </c>
      <c r="B1323" t="inlineStr">
        <is>
          <t>QD923 .G7 1974</t>
        </is>
      </c>
      <c r="C1323" t="inlineStr">
        <is>
          <t>0                      QD 0923000G  7           1974</t>
        </is>
      </c>
      <c r="D1323" t="inlineStr">
        <is>
          <t>Liquid crystals &amp; plastic crystals / editors: G. W. Gray [and] P. A. Winsor.</t>
        </is>
      </c>
      <c r="E1323" t="inlineStr">
        <is>
          <t>V.1</t>
        </is>
      </c>
      <c r="F1323" t="inlineStr">
        <is>
          <t>Yes</t>
        </is>
      </c>
      <c r="G1323" t="inlineStr">
        <is>
          <t>1</t>
        </is>
      </c>
      <c r="H1323" t="inlineStr">
        <is>
          <t>No</t>
        </is>
      </c>
      <c r="I1323" t="inlineStr">
        <is>
          <t>No</t>
        </is>
      </c>
      <c r="J1323" t="inlineStr">
        <is>
          <t>0</t>
        </is>
      </c>
      <c r="K1323" t="inlineStr">
        <is>
          <t>Gray, G. W.</t>
        </is>
      </c>
      <c r="L1323" t="inlineStr">
        <is>
          <t>Chichester [Eng.] : E. Horwood ; New York : Halsted Press, 1974.</t>
        </is>
      </c>
      <c r="M1323" t="inlineStr">
        <is>
          <t>1974</t>
        </is>
      </c>
      <c r="O1323" t="inlineStr">
        <is>
          <t>eng</t>
        </is>
      </c>
      <c r="P1323" t="inlineStr">
        <is>
          <t>enk</t>
        </is>
      </c>
      <c r="Q1323" t="inlineStr">
        <is>
          <t>Ellis Horwood series in physical chemistry</t>
        </is>
      </c>
      <c r="R1323" t="inlineStr">
        <is>
          <t xml:space="preserve">QD </t>
        </is>
      </c>
      <c r="S1323" t="n">
        <v>1</v>
      </c>
      <c r="T1323" t="n">
        <v>2</v>
      </c>
      <c r="U1323" t="inlineStr">
        <is>
          <t>1994-10-03</t>
        </is>
      </c>
      <c r="V1323" t="inlineStr">
        <is>
          <t>1994-10-03</t>
        </is>
      </c>
      <c r="W1323" t="inlineStr">
        <is>
          <t>1993-02-12</t>
        </is>
      </c>
      <c r="X1323" t="inlineStr">
        <is>
          <t>1993-02-12</t>
        </is>
      </c>
      <c r="Y1323" t="n">
        <v>248</v>
      </c>
      <c r="Z1323" t="n">
        <v>176</v>
      </c>
      <c r="AA1323" t="n">
        <v>180</v>
      </c>
      <c r="AB1323" t="n">
        <v>3</v>
      </c>
      <c r="AC1323" t="n">
        <v>3</v>
      </c>
      <c r="AD1323" t="n">
        <v>5</v>
      </c>
      <c r="AE1323" t="n">
        <v>5</v>
      </c>
      <c r="AF1323" t="n">
        <v>0</v>
      </c>
      <c r="AG1323" t="n">
        <v>0</v>
      </c>
      <c r="AH1323" t="n">
        <v>2</v>
      </c>
      <c r="AI1323" t="n">
        <v>2</v>
      </c>
      <c r="AJ1323" t="n">
        <v>2</v>
      </c>
      <c r="AK1323" t="n">
        <v>2</v>
      </c>
      <c r="AL1323" t="n">
        <v>2</v>
      </c>
      <c r="AM1323" t="n">
        <v>2</v>
      </c>
      <c r="AN1323" t="n">
        <v>0</v>
      </c>
      <c r="AO1323" t="n">
        <v>0</v>
      </c>
      <c r="AP1323" t="inlineStr">
        <is>
          <t>No</t>
        </is>
      </c>
      <c r="AQ1323" t="inlineStr">
        <is>
          <t>Yes</t>
        </is>
      </c>
      <c r="AR1323">
        <f>HYPERLINK("http://catalog.hathitrust.org/Record/001035486","HathiTrust Record")</f>
        <v/>
      </c>
      <c r="AS1323">
        <f>HYPERLINK("https://creighton-primo.hosted.exlibrisgroup.com/primo-explore/search?tab=default_tab&amp;search_scope=EVERYTHING&amp;vid=01CRU&amp;lang=en_US&amp;offset=0&amp;query=any,contains,991003464309702656","Catalog Record")</f>
        <v/>
      </c>
      <c r="AT1323">
        <f>HYPERLINK("http://www.worldcat.org/oclc/1005987","WorldCat Record")</f>
        <v/>
      </c>
      <c r="AU1323" t="inlineStr">
        <is>
          <t>4915147349:eng</t>
        </is>
      </c>
      <c r="AV1323" t="inlineStr">
        <is>
          <t>1005987</t>
        </is>
      </c>
      <c r="AW1323" t="inlineStr">
        <is>
          <t>991003464309702656</t>
        </is>
      </c>
      <c r="AX1323" t="inlineStr">
        <is>
          <t>991003464309702656</t>
        </is>
      </c>
      <c r="AY1323" t="inlineStr">
        <is>
          <t>2256614570002656</t>
        </is>
      </c>
      <c r="AZ1323" t="inlineStr">
        <is>
          <t>BOOK</t>
        </is>
      </c>
      <c r="BB1323" t="inlineStr">
        <is>
          <t>9780470323403</t>
        </is>
      </c>
      <c r="BC1323" t="inlineStr">
        <is>
          <t>32285001518132</t>
        </is>
      </c>
      <c r="BD1323" t="inlineStr">
        <is>
          <t>893234185</t>
        </is>
      </c>
    </row>
    <row r="1324">
      <c r="A1324" t="inlineStr">
        <is>
          <t>No</t>
        </is>
      </c>
      <c r="B1324" t="inlineStr">
        <is>
          <t>QD923 .G7 1974</t>
        </is>
      </c>
      <c r="C1324" t="inlineStr">
        <is>
          <t>0                      QD 0923000G  7           1974</t>
        </is>
      </c>
      <c r="D1324" t="inlineStr">
        <is>
          <t>Liquid crystals &amp; plastic crystals / editors: G. W. Gray [and] P. A. Winsor.</t>
        </is>
      </c>
      <c r="E1324" t="inlineStr">
        <is>
          <t>V.2</t>
        </is>
      </c>
      <c r="F1324" t="inlineStr">
        <is>
          <t>Yes</t>
        </is>
      </c>
      <c r="G1324" t="inlineStr">
        <is>
          <t>1</t>
        </is>
      </c>
      <c r="H1324" t="inlineStr">
        <is>
          <t>No</t>
        </is>
      </c>
      <c r="I1324" t="inlineStr">
        <is>
          <t>No</t>
        </is>
      </c>
      <c r="J1324" t="inlineStr">
        <is>
          <t>0</t>
        </is>
      </c>
      <c r="K1324" t="inlineStr">
        <is>
          <t>Gray, G. W.</t>
        </is>
      </c>
      <c r="L1324" t="inlineStr">
        <is>
          <t>Chichester [Eng.] : E. Horwood ; New York : Halsted Press, 1974.</t>
        </is>
      </c>
      <c r="M1324" t="inlineStr">
        <is>
          <t>1974</t>
        </is>
      </c>
      <c r="O1324" t="inlineStr">
        <is>
          <t>eng</t>
        </is>
      </c>
      <c r="P1324" t="inlineStr">
        <is>
          <t>enk</t>
        </is>
      </c>
      <c r="Q1324" t="inlineStr">
        <is>
          <t>Ellis Horwood series in physical chemistry</t>
        </is>
      </c>
      <c r="R1324" t="inlineStr">
        <is>
          <t xml:space="preserve">QD </t>
        </is>
      </c>
      <c r="S1324" t="n">
        <v>1</v>
      </c>
      <c r="T1324" t="n">
        <v>2</v>
      </c>
      <c r="U1324" t="inlineStr">
        <is>
          <t>1994-10-03</t>
        </is>
      </c>
      <c r="V1324" t="inlineStr">
        <is>
          <t>1994-10-03</t>
        </is>
      </c>
      <c r="W1324" t="inlineStr">
        <is>
          <t>1993-02-12</t>
        </is>
      </c>
      <c r="X1324" t="inlineStr">
        <is>
          <t>1993-02-12</t>
        </is>
      </c>
      <c r="Y1324" t="n">
        <v>248</v>
      </c>
      <c r="Z1324" t="n">
        <v>176</v>
      </c>
      <c r="AA1324" t="n">
        <v>180</v>
      </c>
      <c r="AB1324" t="n">
        <v>3</v>
      </c>
      <c r="AC1324" t="n">
        <v>3</v>
      </c>
      <c r="AD1324" t="n">
        <v>5</v>
      </c>
      <c r="AE1324" t="n">
        <v>5</v>
      </c>
      <c r="AF1324" t="n">
        <v>0</v>
      </c>
      <c r="AG1324" t="n">
        <v>0</v>
      </c>
      <c r="AH1324" t="n">
        <v>2</v>
      </c>
      <c r="AI1324" t="n">
        <v>2</v>
      </c>
      <c r="AJ1324" t="n">
        <v>2</v>
      </c>
      <c r="AK1324" t="n">
        <v>2</v>
      </c>
      <c r="AL1324" t="n">
        <v>2</v>
      </c>
      <c r="AM1324" t="n">
        <v>2</v>
      </c>
      <c r="AN1324" t="n">
        <v>0</v>
      </c>
      <c r="AO1324" t="n">
        <v>0</v>
      </c>
      <c r="AP1324" t="inlineStr">
        <is>
          <t>No</t>
        </is>
      </c>
      <c r="AQ1324" t="inlineStr">
        <is>
          <t>Yes</t>
        </is>
      </c>
      <c r="AR1324">
        <f>HYPERLINK("http://catalog.hathitrust.org/Record/001035486","HathiTrust Record")</f>
        <v/>
      </c>
      <c r="AS1324">
        <f>HYPERLINK("https://creighton-primo.hosted.exlibrisgroup.com/primo-explore/search?tab=default_tab&amp;search_scope=EVERYTHING&amp;vid=01CRU&amp;lang=en_US&amp;offset=0&amp;query=any,contains,991003464309702656","Catalog Record")</f>
        <v/>
      </c>
      <c r="AT1324">
        <f>HYPERLINK("http://www.worldcat.org/oclc/1005987","WorldCat Record")</f>
        <v/>
      </c>
      <c r="AU1324" t="inlineStr">
        <is>
          <t>4915147349:eng</t>
        </is>
      </c>
      <c r="AV1324" t="inlineStr">
        <is>
          <t>1005987</t>
        </is>
      </c>
      <c r="AW1324" t="inlineStr">
        <is>
          <t>991003464309702656</t>
        </is>
      </c>
      <c r="AX1324" t="inlineStr">
        <is>
          <t>991003464309702656</t>
        </is>
      </c>
      <c r="AY1324" t="inlineStr">
        <is>
          <t>2256614570002656</t>
        </is>
      </c>
      <c r="AZ1324" t="inlineStr">
        <is>
          <t>BOOK</t>
        </is>
      </c>
      <c r="BB1324" t="inlineStr">
        <is>
          <t>9780470323403</t>
        </is>
      </c>
      <c r="BC1324" t="inlineStr">
        <is>
          <t>32285001518140</t>
        </is>
      </c>
      <c r="BD1324" t="inlineStr">
        <is>
          <t>893234184</t>
        </is>
      </c>
    </row>
    <row r="1325">
      <c r="A1325" t="inlineStr">
        <is>
          <t>No</t>
        </is>
      </c>
      <c r="B1325" t="inlineStr">
        <is>
          <t>QD923 .S64 1992</t>
        </is>
      </c>
      <c r="C1325" t="inlineStr">
        <is>
          <t>0                      QD 0923000S  64          1992</t>
        </is>
      </c>
      <c r="D1325" t="inlineStr">
        <is>
          <t>Solitons in liquid crystals / Lui Lam, Jacques Prost, editors.</t>
        </is>
      </c>
      <c r="F1325" t="inlineStr">
        <is>
          <t>No</t>
        </is>
      </c>
      <c r="G1325" t="inlineStr">
        <is>
          <t>1</t>
        </is>
      </c>
      <c r="H1325" t="inlineStr">
        <is>
          <t>No</t>
        </is>
      </c>
      <c r="I1325" t="inlineStr">
        <is>
          <t>No</t>
        </is>
      </c>
      <c r="J1325" t="inlineStr">
        <is>
          <t>0</t>
        </is>
      </c>
      <c r="L1325" t="inlineStr">
        <is>
          <t>New York : Springer-Verlag, c1992.</t>
        </is>
      </c>
      <c r="M1325" t="inlineStr">
        <is>
          <t>1992</t>
        </is>
      </c>
      <c r="O1325" t="inlineStr">
        <is>
          <t>eng</t>
        </is>
      </c>
      <c r="P1325" t="inlineStr">
        <is>
          <t>nyu</t>
        </is>
      </c>
      <c r="Q1325" t="inlineStr">
        <is>
          <t>Partially ordered systems</t>
        </is>
      </c>
      <c r="R1325" t="inlineStr">
        <is>
          <t xml:space="preserve">QD </t>
        </is>
      </c>
      <c r="S1325" t="n">
        <v>3</v>
      </c>
      <c r="T1325" t="n">
        <v>3</v>
      </c>
      <c r="U1325" t="inlineStr">
        <is>
          <t>1994-09-30</t>
        </is>
      </c>
      <c r="V1325" t="inlineStr">
        <is>
          <t>1994-09-30</t>
        </is>
      </c>
      <c r="W1325" t="inlineStr">
        <is>
          <t>1992-11-12</t>
        </is>
      </c>
      <c r="X1325" t="inlineStr">
        <is>
          <t>1992-11-12</t>
        </is>
      </c>
      <c r="Y1325" t="n">
        <v>186</v>
      </c>
      <c r="Z1325" t="n">
        <v>127</v>
      </c>
      <c r="AA1325" t="n">
        <v>143</v>
      </c>
      <c r="AB1325" t="n">
        <v>3</v>
      </c>
      <c r="AC1325" t="n">
        <v>3</v>
      </c>
      <c r="AD1325" t="n">
        <v>5</v>
      </c>
      <c r="AE1325" t="n">
        <v>5</v>
      </c>
      <c r="AF1325" t="n">
        <v>0</v>
      </c>
      <c r="AG1325" t="n">
        <v>0</v>
      </c>
      <c r="AH1325" t="n">
        <v>3</v>
      </c>
      <c r="AI1325" t="n">
        <v>3</v>
      </c>
      <c r="AJ1325" t="n">
        <v>2</v>
      </c>
      <c r="AK1325" t="n">
        <v>2</v>
      </c>
      <c r="AL1325" t="n">
        <v>2</v>
      </c>
      <c r="AM1325" t="n">
        <v>2</v>
      </c>
      <c r="AN1325" t="n">
        <v>0</v>
      </c>
      <c r="AO1325" t="n">
        <v>0</v>
      </c>
      <c r="AP1325" t="inlineStr">
        <is>
          <t>No</t>
        </is>
      </c>
      <c r="AQ1325" t="inlineStr">
        <is>
          <t>Yes</t>
        </is>
      </c>
      <c r="AR1325">
        <f>HYPERLINK("http://catalog.hathitrust.org/Record/002506848","HathiTrust Record")</f>
        <v/>
      </c>
      <c r="AS1325">
        <f>HYPERLINK("https://creighton-primo.hosted.exlibrisgroup.com/primo-explore/search?tab=default_tab&amp;search_scope=EVERYTHING&amp;vid=01CRU&amp;lang=en_US&amp;offset=0&amp;query=any,contains,991001765399702656","Catalog Record")</f>
        <v/>
      </c>
      <c r="AT1325">
        <f>HYPERLINK("http://www.worldcat.org/oclc/22308279","WorldCat Record")</f>
        <v/>
      </c>
      <c r="AU1325" t="inlineStr">
        <is>
          <t>350564946:eng</t>
        </is>
      </c>
      <c r="AV1325" t="inlineStr">
        <is>
          <t>22308279</t>
        </is>
      </c>
      <c r="AW1325" t="inlineStr">
        <is>
          <t>991001765399702656</t>
        </is>
      </c>
      <c r="AX1325" t="inlineStr">
        <is>
          <t>991001765399702656</t>
        </is>
      </c>
      <c r="AY1325" t="inlineStr">
        <is>
          <t>2259288590002656</t>
        </is>
      </c>
      <c r="AZ1325" t="inlineStr">
        <is>
          <t>BOOK</t>
        </is>
      </c>
      <c r="BB1325" t="inlineStr">
        <is>
          <t>9783540968788</t>
        </is>
      </c>
      <c r="BC1325" t="inlineStr">
        <is>
          <t>32285001361830</t>
        </is>
      </c>
      <c r="BD1325" t="inlineStr">
        <is>
          <t>893903558</t>
        </is>
      </c>
    </row>
    <row r="1326">
      <c r="A1326" t="inlineStr">
        <is>
          <t>No</t>
        </is>
      </c>
      <c r="B1326" t="inlineStr">
        <is>
          <t>QD931 .B67</t>
        </is>
      </c>
      <c r="C1326" t="inlineStr">
        <is>
          <t>0                      QD 0931000B  67</t>
        </is>
      </c>
      <c r="D1326" t="inlineStr">
        <is>
          <t>Dynamical theory of crystal lattices / by Max Born and Kun Huang</t>
        </is>
      </c>
      <c r="F1326" t="inlineStr">
        <is>
          <t>No</t>
        </is>
      </c>
      <c r="G1326" t="inlineStr">
        <is>
          <t>1</t>
        </is>
      </c>
      <c r="H1326" t="inlineStr">
        <is>
          <t>No</t>
        </is>
      </c>
      <c r="I1326" t="inlineStr">
        <is>
          <t>No</t>
        </is>
      </c>
      <c r="J1326" t="inlineStr">
        <is>
          <t>0</t>
        </is>
      </c>
      <c r="K1326" t="inlineStr">
        <is>
          <t>Born, Max, 1882-1970.</t>
        </is>
      </c>
      <c r="L1326" t="inlineStr">
        <is>
          <t>Oxford : Clarendon Press, 1962.</t>
        </is>
      </c>
      <c r="M1326" t="inlineStr">
        <is>
          <t>1962</t>
        </is>
      </c>
      <c r="O1326" t="inlineStr">
        <is>
          <t>eng</t>
        </is>
      </c>
      <c r="P1326" t="inlineStr">
        <is>
          <t>enk</t>
        </is>
      </c>
      <c r="Q1326" t="inlineStr">
        <is>
          <t>The International series of monographs on physics</t>
        </is>
      </c>
      <c r="R1326" t="inlineStr">
        <is>
          <t xml:space="preserve">QD </t>
        </is>
      </c>
      <c r="S1326" t="n">
        <v>2</v>
      </c>
      <c r="T1326" t="n">
        <v>2</v>
      </c>
      <c r="U1326" t="inlineStr">
        <is>
          <t>2001-03-13</t>
        </is>
      </c>
      <c r="V1326" t="inlineStr">
        <is>
          <t>2001-03-13</t>
        </is>
      </c>
      <c r="W1326" t="inlineStr">
        <is>
          <t>1997-06-19</t>
        </is>
      </c>
      <c r="X1326" t="inlineStr">
        <is>
          <t>1997-06-19</t>
        </is>
      </c>
      <c r="Y1326" t="n">
        <v>47</v>
      </c>
      <c r="Z1326" t="n">
        <v>32</v>
      </c>
      <c r="AA1326" t="n">
        <v>508</v>
      </c>
      <c r="AB1326" t="n">
        <v>2</v>
      </c>
      <c r="AC1326" t="n">
        <v>3</v>
      </c>
      <c r="AD1326" t="n">
        <v>2</v>
      </c>
      <c r="AE1326" t="n">
        <v>23</v>
      </c>
      <c r="AF1326" t="n">
        <v>1</v>
      </c>
      <c r="AG1326" t="n">
        <v>7</v>
      </c>
      <c r="AH1326" t="n">
        <v>1</v>
      </c>
      <c r="AI1326" t="n">
        <v>5</v>
      </c>
      <c r="AJ1326" t="n">
        <v>0</v>
      </c>
      <c r="AK1326" t="n">
        <v>17</v>
      </c>
      <c r="AL1326" t="n">
        <v>1</v>
      </c>
      <c r="AM1326" t="n">
        <v>2</v>
      </c>
      <c r="AN1326" t="n">
        <v>0</v>
      </c>
      <c r="AO1326" t="n">
        <v>0</v>
      </c>
      <c r="AP1326" t="inlineStr">
        <is>
          <t>No</t>
        </is>
      </c>
      <c r="AQ1326" t="inlineStr">
        <is>
          <t>Yes</t>
        </is>
      </c>
      <c r="AR1326">
        <f>HYPERLINK("http://catalog.hathitrust.org/Record/010088523","HathiTrust Record")</f>
        <v/>
      </c>
      <c r="AS1326">
        <f>HYPERLINK("https://creighton-primo.hosted.exlibrisgroup.com/primo-explore/search?tab=default_tab&amp;search_scope=EVERYTHING&amp;vid=01CRU&amp;lang=en_US&amp;offset=0&amp;query=any,contains,991005052529702656","Catalog Record")</f>
        <v/>
      </c>
      <c r="AT1326">
        <f>HYPERLINK("http://www.worldcat.org/oclc/6879497","WorldCat Record")</f>
        <v/>
      </c>
      <c r="AU1326" t="inlineStr">
        <is>
          <t>1463373:eng</t>
        </is>
      </c>
      <c r="AV1326" t="inlineStr">
        <is>
          <t>6879497</t>
        </is>
      </c>
      <c r="AW1326" t="inlineStr">
        <is>
          <t>991005052529702656</t>
        </is>
      </c>
      <c r="AX1326" t="inlineStr">
        <is>
          <t>991005052529702656</t>
        </is>
      </c>
      <c r="AY1326" t="inlineStr">
        <is>
          <t>2271943370002656</t>
        </is>
      </c>
      <c r="AZ1326" t="inlineStr">
        <is>
          <t>BOOK</t>
        </is>
      </c>
      <c r="BC1326" t="inlineStr">
        <is>
          <t>32285002850294</t>
        </is>
      </c>
      <c r="BD1326" t="inlineStr">
        <is>
          <t>893600535</t>
        </is>
      </c>
    </row>
    <row r="1327">
      <c r="A1327" t="inlineStr">
        <is>
          <t>No</t>
        </is>
      </c>
      <c r="B1327" t="inlineStr">
        <is>
          <t>QD931 .F48</t>
        </is>
      </c>
      <c r="C1327" t="inlineStr">
        <is>
          <t>0                      QD 0931000F  48</t>
        </is>
      </c>
      <c r="D1327" t="inlineStr">
        <is>
          <t>The chemical physics of ice [by] N. H. Fletcher.</t>
        </is>
      </c>
      <c r="F1327" t="inlineStr">
        <is>
          <t>No</t>
        </is>
      </c>
      <c r="G1327" t="inlineStr">
        <is>
          <t>1</t>
        </is>
      </c>
      <c r="H1327" t="inlineStr">
        <is>
          <t>No</t>
        </is>
      </c>
      <c r="I1327" t="inlineStr">
        <is>
          <t>No</t>
        </is>
      </c>
      <c r="J1327" t="inlineStr">
        <is>
          <t>0</t>
        </is>
      </c>
      <c r="K1327" t="inlineStr">
        <is>
          <t>Fletcher, Neville H. (Neville Horner)</t>
        </is>
      </c>
      <c r="L1327" t="inlineStr">
        <is>
          <t>London, Cambridge U.P., 1970.</t>
        </is>
      </c>
      <c r="M1327" t="inlineStr">
        <is>
          <t>1970</t>
        </is>
      </c>
      <c r="O1327" t="inlineStr">
        <is>
          <t>eng</t>
        </is>
      </c>
      <c r="P1327" t="inlineStr">
        <is>
          <t>enk</t>
        </is>
      </c>
      <c r="Q1327" t="inlineStr">
        <is>
          <t>Cambridge monographs on physics</t>
        </is>
      </c>
      <c r="R1327" t="inlineStr">
        <is>
          <t xml:space="preserve">QD </t>
        </is>
      </c>
      <c r="S1327" t="n">
        <v>1</v>
      </c>
      <c r="T1327" t="n">
        <v>1</v>
      </c>
      <c r="U1327" t="inlineStr">
        <is>
          <t>1998-04-20</t>
        </is>
      </c>
      <c r="V1327" t="inlineStr">
        <is>
          <t>1998-04-20</t>
        </is>
      </c>
      <c r="W1327" t="inlineStr">
        <is>
          <t>1997-06-19</t>
        </is>
      </c>
      <c r="X1327" t="inlineStr">
        <is>
          <t>1997-06-19</t>
        </is>
      </c>
      <c r="Y1327" t="n">
        <v>514</v>
      </c>
      <c r="Z1327" t="n">
        <v>356</v>
      </c>
      <c r="AA1327" t="n">
        <v>375</v>
      </c>
      <c r="AB1327" t="n">
        <v>3</v>
      </c>
      <c r="AC1327" t="n">
        <v>3</v>
      </c>
      <c r="AD1327" t="n">
        <v>15</v>
      </c>
      <c r="AE1327" t="n">
        <v>15</v>
      </c>
      <c r="AF1327" t="n">
        <v>4</v>
      </c>
      <c r="AG1327" t="n">
        <v>4</v>
      </c>
      <c r="AH1327" t="n">
        <v>4</v>
      </c>
      <c r="AI1327" t="n">
        <v>4</v>
      </c>
      <c r="AJ1327" t="n">
        <v>7</v>
      </c>
      <c r="AK1327" t="n">
        <v>7</v>
      </c>
      <c r="AL1327" t="n">
        <v>2</v>
      </c>
      <c r="AM1327" t="n">
        <v>2</v>
      </c>
      <c r="AN1327" t="n">
        <v>0</v>
      </c>
      <c r="AO1327" t="n">
        <v>0</v>
      </c>
      <c r="AP1327" t="inlineStr">
        <is>
          <t>No</t>
        </is>
      </c>
      <c r="AQ1327" t="inlineStr">
        <is>
          <t>No</t>
        </is>
      </c>
      <c r="AS1327">
        <f>HYPERLINK("https://creighton-primo.hosted.exlibrisgroup.com/primo-explore/search?tab=default_tab&amp;search_scope=EVERYTHING&amp;vid=01CRU&amp;lang=en_US&amp;offset=0&amp;query=any,contains,991000453959702656","Catalog Record")</f>
        <v/>
      </c>
      <c r="AT1327">
        <f>HYPERLINK("http://www.worldcat.org/oclc/77402","WorldCat Record")</f>
        <v/>
      </c>
      <c r="AU1327" t="inlineStr">
        <is>
          <t>1252447:eng</t>
        </is>
      </c>
      <c r="AV1327" t="inlineStr">
        <is>
          <t>77402</t>
        </is>
      </c>
      <c r="AW1327" t="inlineStr">
        <is>
          <t>991000453959702656</t>
        </is>
      </c>
      <c r="AX1327" t="inlineStr">
        <is>
          <t>991000453959702656</t>
        </is>
      </c>
      <c r="AY1327" t="inlineStr">
        <is>
          <t>2256894710002656</t>
        </is>
      </c>
      <c r="AZ1327" t="inlineStr">
        <is>
          <t>BOOK</t>
        </is>
      </c>
      <c r="BB1327" t="inlineStr">
        <is>
          <t>9780521075978</t>
        </is>
      </c>
      <c r="BC1327" t="inlineStr">
        <is>
          <t>32285002850328</t>
        </is>
      </c>
      <c r="BD1327" t="inlineStr">
        <is>
          <t>893243258</t>
        </is>
      </c>
    </row>
    <row r="1328">
      <c r="A1328" t="inlineStr">
        <is>
          <t>No</t>
        </is>
      </c>
      <c r="B1328" t="inlineStr">
        <is>
          <t>QD931 .W34</t>
        </is>
      </c>
      <c r="C1328" t="inlineStr">
        <is>
          <t>0                      QD 0931000W  34</t>
        </is>
      </c>
      <c r="D1328" t="inlineStr">
        <is>
          <t>Thermodynamics of crystals [by] Duane C. Wallace.</t>
        </is>
      </c>
      <c r="F1328" t="inlineStr">
        <is>
          <t>No</t>
        </is>
      </c>
      <c r="G1328" t="inlineStr">
        <is>
          <t>1</t>
        </is>
      </c>
      <c r="H1328" t="inlineStr">
        <is>
          <t>No</t>
        </is>
      </c>
      <c r="I1328" t="inlineStr">
        <is>
          <t>No</t>
        </is>
      </c>
      <c r="J1328" t="inlineStr">
        <is>
          <t>0</t>
        </is>
      </c>
      <c r="K1328" t="inlineStr">
        <is>
          <t>Wallace, Duane C.</t>
        </is>
      </c>
      <c r="L1328" t="inlineStr">
        <is>
          <t>New York, Wiley [1972]</t>
        </is>
      </c>
      <c r="M1328" t="inlineStr">
        <is>
          <t>1972</t>
        </is>
      </c>
      <c r="O1328" t="inlineStr">
        <is>
          <t>eng</t>
        </is>
      </c>
      <c r="P1328" t="inlineStr">
        <is>
          <t>nyu</t>
        </is>
      </c>
      <c r="R1328" t="inlineStr">
        <is>
          <t xml:space="preserve">QD </t>
        </is>
      </c>
      <c r="S1328" t="n">
        <v>1</v>
      </c>
      <c r="T1328" t="n">
        <v>1</v>
      </c>
      <c r="U1328" t="inlineStr">
        <is>
          <t>2008-10-22</t>
        </is>
      </c>
      <c r="V1328" t="inlineStr">
        <is>
          <t>2008-10-22</t>
        </is>
      </c>
      <c r="W1328" t="inlineStr">
        <is>
          <t>1997-06-19</t>
        </is>
      </c>
      <c r="X1328" t="inlineStr">
        <is>
          <t>1997-06-19</t>
        </is>
      </c>
      <c r="Y1328" t="n">
        <v>431</v>
      </c>
      <c r="Z1328" t="n">
        <v>294</v>
      </c>
      <c r="AA1328" t="n">
        <v>333</v>
      </c>
      <c r="AB1328" t="n">
        <v>3</v>
      </c>
      <c r="AC1328" t="n">
        <v>3</v>
      </c>
      <c r="AD1328" t="n">
        <v>14</v>
      </c>
      <c r="AE1328" t="n">
        <v>15</v>
      </c>
      <c r="AF1328" t="n">
        <v>5</v>
      </c>
      <c r="AG1328" t="n">
        <v>5</v>
      </c>
      <c r="AH1328" t="n">
        <v>3</v>
      </c>
      <c r="AI1328" t="n">
        <v>3</v>
      </c>
      <c r="AJ1328" t="n">
        <v>9</v>
      </c>
      <c r="AK1328" t="n">
        <v>10</v>
      </c>
      <c r="AL1328" t="n">
        <v>2</v>
      </c>
      <c r="AM1328" t="n">
        <v>2</v>
      </c>
      <c r="AN1328" t="n">
        <v>0</v>
      </c>
      <c r="AO1328" t="n">
        <v>0</v>
      </c>
      <c r="AP1328" t="inlineStr">
        <is>
          <t>No</t>
        </is>
      </c>
      <c r="AQ1328" t="inlineStr">
        <is>
          <t>Yes</t>
        </is>
      </c>
      <c r="AR1328">
        <f>HYPERLINK("http://catalog.hathitrust.org/Record/001035496","HathiTrust Record")</f>
        <v/>
      </c>
      <c r="AS1328">
        <f>HYPERLINK("https://creighton-primo.hosted.exlibrisgroup.com/primo-explore/search?tab=default_tab&amp;search_scope=EVERYTHING&amp;vid=01CRU&amp;lang=en_US&amp;offset=0&amp;query=any,contains,991002108029702656","Catalog Record")</f>
        <v/>
      </c>
      <c r="AT1328">
        <f>HYPERLINK("http://www.worldcat.org/oclc/266870","WorldCat Record")</f>
        <v/>
      </c>
      <c r="AU1328" t="inlineStr">
        <is>
          <t>1386233:eng</t>
        </is>
      </c>
      <c r="AV1328" t="inlineStr">
        <is>
          <t>266870</t>
        </is>
      </c>
      <c r="AW1328" t="inlineStr">
        <is>
          <t>991002108029702656</t>
        </is>
      </c>
      <c r="AX1328" t="inlineStr">
        <is>
          <t>991002108029702656</t>
        </is>
      </c>
      <c r="AY1328" t="inlineStr">
        <is>
          <t>2269157040002656</t>
        </is>
      </c>
      <c r="AZ1328" t="inlineStr">
        <is>
          <t>BOOK</t>
        </is>
      </c>
      <c r="BB1328" t="inlineStr">
        <is>
          <t>9780471918554</t>
        </is>
      </c>
      <c r="BC1328" t="inlineStr">
        <is>
          <t>32285002850385</t>
        </is>
      </c>
      <c r="BD1328" t="inlineStr">
        <is>
          <t>893626959</t>
        </is>
      </c>
    </row>
    <row r="1329">
      <c r="A1329" t="inlineStr">
        <is>
          <t>No</t>
        </is>
      </c>
      <c r="B1329" t="inlineStr">
        <is>
          <t>QD939 .M6 1964</t>
        </is>
      </c>
      <c r="C1329" t="inlineStr">
        <is>
          <t>0                      QD 0939000M  6           1964</t>
        </is>
      </c>
      <c r="D1329" t="inlineStr">
        <is>
          <t>Electronic processes in ionic crystals, by N.F. Mott and R.W. Gurney.</t>
        </is>
      </c>
      <c r="F1329" t="inlineStr">
        <is>
          <t>No</t>
        </is>
      </c>
      <c r="G1329" t="inlineStr">
        <is>
          <t>1</t>
        </is>
      </c>
      <c r="H1329" t="inlineStr">
        <is>
          <t>No</t>
        </is>
      </c>
      <c r="I1329" t="inlineStr">
        <is>
          <t>No</t>
        </is>
      </c>
      <c r="J1329" t="inlineStr">
        <is>
          <t>0</t>
        </is>
      </c>
      <c r="K1329" t="inlineStr">
        <is>
          <t>Mott, N. F. (Nevill Francis), Sir, 1905-1996.</t>
        </is>
      </c>
      <c r="L1329" t="inlineStr">
        <is>
          <t>New York, Dover Publications [1964]</t>
        </is>
      </c>
      <c r="M1329" t="inlineStr">
        <is>
          <t>1964</t>
        </is>
      </c>
      <c r="N1329" t="inlineStr">
        <is>
          <t>2d ed.</t>
        </is>
      </c>
      <c r="O1329" t="inlineStr">
        <is>
          <t>eng</t>
        </is>
      </c>
      <c r="P1329" t="inlineStr">
        <is>
          <t>nyu</t>
        </is>
      </c>
      <c r="R1329" t="inlineStr">
        <is>
          <t xml:space="preserve">QD </t>
        </is>
      </c>
      <c r="S1329" t="n">
        <v>0</v>
      </c>
      <c r="T1329" t="n">
        <v>0</v>
      </c>
      <c r="U1329" t="inlineStr">
        <is>
          <t>2001-02-20</t>
        </is>
      </c>
      <c r="V1329" t="inlineStr">
        <is>
          <t>2001-02-20</t>
        </is>
      </c>
      <c r="W1329" t="inlineStr">
        <is>
          <t>1997-06-19</t>
        </is>
      </c>
      <c r="X1329" t="inlineStr">
        <is>
          <t>1997-06-19</t>
        </is>
      </c>
      <c r="Y1329" t="n">
        <v>303</v>
      </c>
      <c r="Z1329" t="n">
        <v>248</v>
      </c>
      <c r="AA1329" t="n">
        <v>457</v>
      </c>
      <c r="AB1329" t="n">
        <v>3</v>
      </c>
      <c r="AC1329" t="n">
        <v>3</v>
      </c>
      <c r="AD1329" t="n">
        <v>9</v>
      </c>
      <c r="AE1329" t="n">
        <v>24</v>
      </c>
      <c r="AF1329" t="n">
        <v>4</v>
      </c>
      <c r="AG1329" t="n">
        <v>9</v>
      </c>
      <c r="AH1329" t="n">
        <v>1</v>
      </c>
      <c r="AI1329" t="n">
        <v>4</v>
      </c>
      <c r="AJ1329" t="n">
        <v>5</v>
      </c>
      <c r="AK1329" t="n">
        <v>18</v>
      </c>
      <c r="AL1329" t="n">
        <v>2</v>
      </c>
      <c r="AM1329" t="n">
        <v>2</v>
      </c>
      <c r="AN1329" t="n">
        <v>0</v>
      </c>
      <c r="AO1329" t="n">
        <v>0</v>
      </c>
      <c r="AP1329" t="inlineStr">
        <is>
          <t>No</t>
        </is>
      </c>
      <c r="AQ1329" t="inlineStr">
        <is>
          <t>Yes</t>
        </is>
      </c>
      <c r="AR1329">
        <f>HYPERLINK("http://catalog.hathitrust.org/Record/001112766","HathiTrust Record")</f>
        <v/>
      </c>
      <c r="AS1329">
        <f>HYPERLINK("https://creighton-primo.hosted.exlibrisgroup.com/primo-explore/search?tab=default_tab&amp;search_scope=EVERYTHING&amp;vid=01CRU&amp;lang=en_US&amp;offset=0&amp;query=any,contains,991002733259702656","Catalog Record")</f>
        <v/>
      </c>
      <c r="AT1329">
        <f>HYPERLINK("http://www.worldcat.org/oclc/418097","WorldCat Record")</f>
        <v/>
      </c>
      <c r="AU1329" t="inlineStr">
        <is>
          <t>1491277:eng</t>
        </is>
      </c>
      <c r="AV1329" t="inlineStr">
        <is>
          <t>418097</t>
        </is>
      </c>
      <c r="AW1329" t="inlineStr">
        <is>
          <t>991002733259702656</t>
        </is>
      </c>
      <c r="AX1329" t="inlineStr">
        <is>
          <t>991002733259702656</t>
        </is>
      </c>
      <c r="AY1329" t="inlineStr">
        <is>
          <t>2260935790002656</t>
        </is>
      </c>
      <c r="AZ1329" t="inlineStr">
        <is>
          <t>BOOK</t>
        </is>
      </c>
      <c r="BC1329" t="inlineStr">
        <is>
          <t>32285002850443</t>
        </is>
      </c>
      <c r="BD1329" t="inlineStr">
        <is>
          <t>893434222</t>
        </is>
      </c>
    </row>
    <row r="1330">
      <c r="A1330" t="inlineStr">
        <is>
          <t>No</t>
        </is>
      </c>
      <c r="B1330" t="inlineStr">
        <is>
          <t>QD945 .A458</t>
        </is>
      </c>
      <c r="C1330" t="inlineStr">
        <is>
          <t>0                      QD 0945000A  458</t>
        </is>
      </c>
      <c r="D1330" t="inlineStr">
        <is>
          <t>The Laue method / [by] José Luis Amorós, Martin J. Buerger [and] Marisa Canut de Amorós.</t>
        </is>
      </c>
      <c r="F1330" t="inlineStr">
        <is>
          <t>No</t>
        </is>
      </c>
      <c r="G1330" t="inlineStr">
        <is>
          <t>1</t>
        </is>
      </c>
      <c r="H1330" t="inlineStr">
        <is>
          <t>No</t>
        </is>
      </c>
      <c r="I1330" t="inlineStr">
        <is>
          <t>No</t>
        </is>
      </c>
      <c r="J1330" t="inlineStr">
        <is>
          <t>0</t>
        </is>
      </c>
      <c r="K1330" t="inlineStr">
        <is>
          <t>Amorós, José Luis.</t>
        </is>
      </c>
      <c r="L1330" t="inlineStr">
        <is>
          <t>New York : Academic Press, 1975.</t>
        </is>
      </c>
      <c r="M1330" t="inlineStr">
        <is>
          <t>1974</t>
        </is>
      </c>
      <c r="O1330" t="inlineStr">
        <is>
          <t>eng</t>
        </is>
      </c>
      <c r="P1330" t="inlineStr">
        <is>
          <t>nyu</t>
        </is>
      </c>
      <c r="R1330" t="inlineStr">
        <is>
          <t xml:space="preserve">QD </t>
        </is>
      </c>
      <c r="S1330" t="n">
        <v>5</v>
      </c>
      <c r="T1330" t="n">
        <v>5</v>
      </c>
      <c r="U1330" t="inlineStr">
        <is>
          <t>2001-05-01</t>
        </is>
      </c>
      <c r="V1330" t="inlineStr">
        <is>
          <t>2001-05-01</t>
        </is>
      </c>
      <c r="W1330" t="inlineStr">
        <is>
          <t>1995-05-01</t>
        </is>
      </c>
      <c r="X1330" t="inlineStr">
        <is>
          <t>1995-05-01</t>
        </is>
      </c>
      <c r="Y1330" t="n">
        <v>285</v>
      </c>
      <c r="Z1330" t="n">
        <v>200</v>
      </c>
      <c r="AA1330" t="n">
        <v>258</v>
      </c>
      <c r="AB1330" t="n">
        <v>3</v>
      </c>
      <c r="AC1330" t="n">
        <v>3</v>
      </c>
      <c r="AD1330" t="n">
        <v>10</v>
      </c>
      <c r="AE1330" t="n">
        <v>15</v>
      </c>
      <c r="AF1330" t="n">
        <v>1</v>
      </c>
      <c r="AG1330" t="n">
        <v>4</v>
      </c>
      <c r="AH1330" t="n">
        <v>3</v>
      </c>
      <c r="AI1330" t="n">
        <v>5</v>
      </c>
      <c r="AJ1330" t="n">
        <v>7</v>
      </c>
      <c r="AK1330" t="n">
        <v>9</v>
      </c>
      <c r="AL1330" t="n">
        <v>2</v>
      </c>
      <c r="AM1330" t="n">
        <v>2</v>
      </c>
      <c r="AN1330" t="n">
        <v>0</v>
      </c>
      <c r="AO1330" t="n">
        <v>0</v>
      </c>
      <c r="AP1330" t="inlineStr">
        <is>
          <t>No</t>
        </is>
      </c>
      <c r="AQ1330" t="inlineStr">
        <is>
          <t>Yes</t>
        </is>
      </c>
      <c r="AR1330">
        <f>HYPERLINK("http://catalog.hathitrust.org/Record/001114520","HathiTrust Record")</f>
        <v/>
      </c>
      <c r="AS1330">
        <f>HYPERLINK("https://creighton-primo.hosted.exlibrisgroup.com/primo-explore/search?tab=default_tab&amp;search_scope=EVERYTHING&amp;vid=01CRU&amp;lang=en_US&amp;offset=0&amp;query=any,contains,991003272229702656","Catalog Record")</f>
        <v/>
      </c>
      <c r="AT1330">
        <f>HYPERLINK("http://www.worldcat.org/oclc/797706","WorldCat Record")</f>
        <v/>
      </c>
      <c r="AU1330" t="inlineStr">
        <is>
          <t>1771580:eng</t>
        </is>
      </c>
      <c r="AV1330" t="inlineStr">
        <is>
          <t>797706</t>
        </is>
      </c>
      <c r="AW1330" t="inlineStr">
        <is>
          <t>991003272229702656</t>
        </is>
      </c>
      <c r="AX1330" t="inlineStr">
        <is>
          <t>991003272229702656</t>
        </is>
      </c>
      <c r="AY1330" t="inlineStr">
        <is>
          <t>2261072250002656</t>
        </is>
      </c>
      <c r="AZ1330" t="inlineStr">
        <is>
          <t>BOOK</t>
        </is>
      </c>
      <c r="BB1330" t="inlineStr">
        <is>
          <t>9780120574506</t>
        </is>
      </c>
      <c r="BC1330" t="inlineStr">
        <is>
          <t>32285002029758</t>
        </is>
      </c>
      <c r="BD1330" t="inlineStr">
        <is>
          <t>893617175</t>
        </is>
      </c>
    </row>
    <row r="1331">
      <c r="A1331" t="inlineStr">
        <is>
          <t>No</t>
        </is>
      </c>
      <c r="B1331" t="inlineStr">
        <is>
          <t>QD945 .A9</t>
        </is>
      </c>
      <c r="C1331" t="inlineStr">
        <is>
          <t>0                      QD 0945000A  9</t>
        </is>
      </c>
      <c r="D1331" t="inlineStr">
        <is>
          <t>The powder method in X-ray crystallography / [by] Leonid V. Azároff [and] Martin J. Buerger.</t>
        </is>
      </c>
      <c r="F1331" t="inlineStr">
        <is>
          <t>No</t>
        </is>
      </c>
      <c r="G1331" t="inlineStr">
        <is>
          <t>1</t>
        </is>
      </c>
      <c r="H1331" t="inlineStr">
        <is>
          <t>No</t>
        </is>
      </c>
      <c r="I1331" t="inlineStr">
        <is>
          <t>No</t>
        </is>
      </c>
      <c r="J1331" t="inlineStr">
        <is>
          <t>0</t>
        </is>
      </c>
      <c r="K1331" t="inlineStr">
        <is>
          <t>Azároff, Leonid V.</t>
        </is>
      </c>
      <c r="L1331" t="inlineStr">
        <is>
          <t>New York : McGraw-Hill, 1958.</t>
        </is>
      </c>
      <c r="M1331" t="inlineStr">
        <is>
          <t>1958</t>
        </is>
      </c>
      <c r="O1331" t="inlineStr">
        <is>
          <t>eng</t>
        </is>
      </c>
      <c r="P1331" t="inlineStr">
        <is>
          <t>nyu</t>
        </is>
      </c>
      <c r="R1331" t="inlineStr">
        <is>
          <t xml:space="preserve">QD </t>
        </is>
      </c>
      <c r="S1331" t="n">
        <v>7</v>
      </c>
      <c r="T1331" t="n">
        <v>7</v>
      </c>
      <c r="U1331" t="inlineStr">
        <is>
          <t>2002-02-22</t>
        </is>
      </c>
      <c r="V1331" t="inlineStr">
        <is>
          <t>2002-02-22</t>
        </is>
      </c>
      <c r="W1331" t="inlineStr">
        <is>
          <t>1992-06-12</t>
        </is>
      </c>
      <c r="X1331" t="inlineStr">
        <is>
          <t>1992-06-12</t>
        </is>
      </c>
      <c r="Y1331" t="n">
        <v>632</v>
      </c>
      <c r="Z1331" t="n">
        <v>467</v>
      </c>
      <c r="AA1331" t="n">
        <v>476</v>
      </c>
      <c r="AB1331" t="n">
        <v>3</v>
      </c>
      <c r="AC1331" t="n">
        <v>3</v>
      </c>
      <c r="AD1331" t="n">
        <v>19</v>
      </c>
      <c r="AE1331" t="n">
        <v>19</v>
      </c>
      <c r="AF1331" t="n">
        <v>8</v>
      </c>
      <c r="AG1331" t="n">
        <v>8</v>
      </c>
      <c r="AH1331" t="n">
        <v>4</v>
      </c>
      <c r="AI1331" t="n">
        <v>4</v>
      </c>
      <c r="AJ1331" t="n">
        <v>12</v>
      </c>
      <c r="AK1331" t="n">
        <v>12</v>
      </c>
      <c r="AL1331" t="n">
        <v>2</v>
      </c>
      <c r="AM1331" t="n">
        <v>2</v>
      </c>
      <c r="AN1331" t="n">
        <v>0</v>
      </c>
      <c r="AO1331" t="n">
        <v>0</v>
      </c>
      <c r="AP1331" t="inlineStr">
        <is>
          <t>Yes</t>
        </is>
      </c>
      <c r="AQ1331" t="inlineStr">
        <is>
          <t>No</t>
        </is>
      </c>
      <c r="AR1331">
        <f>HYPERLINK("http://catalog.hathitrust.org/Record/001114525","HathiTrust Record")</f>
        <v/>
      </c>
      <c r="AS1331">
        <f>HYPERLINK("https://creighton-primo.hosted.exlibrisgroup.com/primo-explore/search?tab=default_tab&amp;search_scope=EVERYTHING&amp;vid=01CRU&amp;lang=en_US&amp;offset=0&amp;query=any,contains,991005355359702656","Catalog Record")</f>
        <v/>
      </c>
      <c r="AT1331">
        <f>HYPERLINK("http://www.worldcat.org/oclc/422049","WorldCat Record")</f>
        <v/>
      </c>
      <c r="AU1331" t="inlineStr">
        <is>
          <t>3856412230:eng</t>
        </is>
      </c>
      <c r="AV1331" t="inlineStr">
        <is>
          <t>422049</t>
        </is>
      </c>
      <c r="AW1331" t="inlineStr">
        <is>
          <t>991005355359702656</t>
        </is>
      </c>
      <c r="AX1331" t="inlineStr">
        <is>
          <t>991005355359702656</t>
        </is>
      </c>
      <c r="AY1331" t="inlineStr">
        <is>
          <t>2267513250002656</t>
        </is>
      </c>
      <c r="AZ1331" t="inlineStr">
        <is>
          <t>BOOK</t>
        </is>
      </c>
      <c r="BC1331" t="inlineStr">
        <is>
          <t>32285001131308</t>
        </is>
      </c>
      <c r="BD1331" t="inlineStr">
        <is>
          <t>893320486</t>
        </is>
      </c>
    </row>
    <row r="1332">
      <c r="A1332" t="inlineStr">
        <is>
          <t>No</t>
        </is>
      </c>
      <c r="B1332" t="inlineStr">
        <is>
          <t>QD945 .B8</t>
        </is>
      </c>
      <c r="C1332" t="inlineStr">
        <is>
          <t>0                      QD 0945000B  8</t>
        </is>
      </c>
      <c r="D1332" t="inlineStr">
        <is>
          <t>X-ray crystallography : an introduction to the investigation of crystals by their diffraction of monochromatic X-radiation / by M.J. Buerger.</t>
        </is>
      </c>
      <c r="F1332" t="inlineStr">
        <is>
          <t>No</t>
        </is>
      </c>
      <c r="G1332" t="inlineStr">
        <is>
          <t>1</t>
        </is>
      </c>
      <c r="H1332" t="inlineStr">
        <is>
          <t>No</t>
        </is>
      </c>
      <c r="I1332" t="inlineStr">
        <is>
          <t>No</t>
        </is>
      </c>
      <c r="J1332" t="inlineStr">
        <is>
          <t>0</t>
        </is>
      </c>
      <c r="K1332" t="inlineStr">
        <is>
          <t>Buerger, Martin Julian, 1903-1986.</t>
        </is>
      </c>
      <c r="L1332" t="inlineStr">
        <is>
          <t>New York : J. Wiley &amp; Sons, inc. ; London : Chapman &amp; Hall, limited, 1942.</t>
        </is>
      </c>
      <c r="M1332" t="inlineStr">
        <is>
          <t>1942</t>
        </is>
      </c>
      <c r="O1332" t="inlineStr">
        <is>
          <t>eng</t>
        </is>
      </c>
      <c r="P1332" t="inlineStr">
        <is>
          <t>nyu</t>
        </is>
      </c>
      <c r="R1332" t="inlineStr">
        <is>
          <t xml:space="preserve">QD </t>
        </is>
      </c>
      <c r="S1332" t="n">
        <v>3</v>
      </c>
      <c r="T1332" t="n">
        <v>3</v>
      </c>
      <c r="U1332" t="inlineStr">
        <is>
          <t>1996-10-04</t>
        </is>
      </c>
      <c r="V1332" t="inlineStr">
        <is>
          <t>1996-10-04</t>
        </is>
      </c>
      <c r="W1332" t="inlineStr">
        <is>
          <t>1991-01-15</t>
        </is>
      </c>
      <c r="X1332" t="inlineStr">
        <is>
          <t>1991-01-15</t>
        </is>
      </c>
      <c r="Y1332" t="n">
        <v>583</v>
      </c>
      <c r="Z1332" t="n">
        <v>474</v>
      </c>
      <c r="AA1332" t="n">
        <v>531</v>
      </c>
      <c r="AB1332" t="n">
        <v>4</v>
      </c>
      <c r="AC1332" t="n">
        <v>4</v>
      </c>
      <c r="AD1332" t="n">
        <v>24</v>
      </c>
      <c r="AE1332" t="n">
        <v>27</v>
      </c>
      <c r="AF1332" t="n">
        <v>10</v>
      </c>
      <c r="AG1332" t="n">
        <v>11</v>
      </c>
      <c r="AH1332" t="n">
        <v>2</v>
      </c>
      <c r="AI1332" t="n">
        <v>4</v>
      </c>
      <c r="AJ1332" t="n">
        <v>16</v>
      </c>
      <c r="AK1332" t="n">
        <v>17</v>
      </c>
      <c r="AL1332" t="n">
        <v>3</v>
      </c>
      <c r="AM1332" t="n">
        <v>3</v>
      </c>
      <c r="AN1332" t="n">
        <v>0</v>
      </c>
      <c r="AO1332" t="n">
        <v>0</v>
      </c>
      <c r="AP1332" t="inlineStr">
        <is>
          <t>No</t>
        </is>
      </c>
      <c r="AQ1332" t="inlineStr">
        <is>
          <t>Yes</t>
        </is>
      </c>
      <c r="AR1332">
        <f>HYPERLINK("http://catalog.hathitrust.org/Record/001114476","HathiTrust Record")</f>
        <v/>
      </c>
      <c r="AS1332">
        <f>HYPERLINK("https://creighton-primo.hosted.exlibrisgroup.com/primo-explore/search?tab=default_tab&amp;search_scope=EVERYTHING&amp;vid=01CRU&amp;lang=en_US&amp;offset=0&amp;query=any,contains,991002963929702656","Catalog Record")</f>
        <v/>
      </c>
      <c r="AT1332">
        <f>HYPERLINK("http://www.worldcat.org/oclc/545155","WorldCat Record")</f>
        <v/>
      </c>
      <c r="AU1332" t="inlineStr">
        <is>
          <t>1576678:eng</t>
        </is>
      </c>
      <c r="AV1332" t="inlineStr">
        <is>
          <t>545155</t>
        </is>
      </c>
      <c r="AW1332" t="inlineStr">
        <is>
          <t>991002963929702656</t>
        </is>
      </c>
      <c r="AX1332" t="inlineStr">
        <is>
          <t>991002963929702656</t>
        </is>
      </c>
      <c r="AY1332" t="inlineStr">
        <is>
          <t>2264420840002656</t>
        </is>
      </c>
      <c r="AZ1332" t="inlineStr">
        <is>
          <t>BOOK</t>
        </is>
      </c>
      <c r="BC1332" t="inlineStr">
        <is>
          <t>32285000428390</t>
        </is>
      </c>
      <c r="BD1332" t="inlineStr">
        <is>
          <t>893610535</t>
        </is>
      </c>
    </row>
    <row r="1333">
      <c r="A1333" t="inlineStr">
        <is>
          <t>No</t>
        </is>
      </c>
      <c r="B1333" t="inlineStr">
        <is>
          <t>QD945 .G943</t>
        </is>
      </c>
      <c r="C1333" t="inlineStr">
        <is>
          <t>0                      QD 0945000G  943</t>
        </is>
      </c>
      <c r="D1333" t="inlineStr">
        <is>
          <t>X-ray diffraction in crystals, imperfect crystals, and amorphous bodies. Translated by Paul Lorrain and Dorothée Sainte-Marie Lorrain.</t>
        </is>
      </c>
      <c r="F1333" t="inlineStr">
        <is>
          <t>No</t>
        </is>
      </c>
      <c r="G1333" t="inlineStr">
        <is>
          <t>1</t>
        </is>
      </c>
      <c r="H1333" t="inlineStr">
        <is>
          <t>No</t>
        </is>
      </c>
      <c r="I1333" t="inlineStr">
        <is>
          <t>No</t>
        </is>
      </c>
      <c r="J1333" t="inlineStr">
        <is>
          <t>0</t>
        </is>
      </c>
      <c r="K1333" t="inlineStr">
        <is>
          <t>Guinier, André.</t>
        </is>
      </c>
      <c r="L1333" t="inlineStr">
        <is>
          <t>San Francisco, W.H. Freeman [1963]</t>
        </is>
      </c>
      <c r="M1333" t="inlineStr">
        <is>
          <t>1963</t>
        </is>
      </c>
      <c r="O1333" t="inlineStr">
        <is>
          <t>eng</t>
        </is>
      </c>
      <c r="P1333" t="inlineStr">
        <is>
          <t>cau</t>
        </is>
      </c>
      <c r="Q1333" t="inlineStr">
        <is>
          <t>A Series of books in physics</t>
        </is>
      </c>
      <c r="R1333" t="inlineStr">
        <is>
          <t xml:space="preserve">QD </t>
        </is>
      </c>
      <c r="S1333" t="n">
        <v>5</v>
      </c>
      <c r="T1333" t="n">
        <v>5</v>
      </c>
      <c r="U1333" t="inlineStr">
        <is>
          <t>1997-12-13</t>
        </is>
      </c>
      <c r="V1333" t="inlineStr">
        <is>
          <t>1997-12-13</t>
        </is>
      </c>
      <c r="W1333" t="inlineStr">
        <is>
          <t>1992-03-31</t>
        </is>
      </c>
      <c r="X1333" t="inlineStr">
        <is>
          <t>1992-03-31</t>
        </is>
      </c>
      <c r="Y1333" t="n">
        <v>670</v>
      </c>
      <c r="Z1333" t="n">
        <v>508</v>
      </c>
      <c r="AA1333" t="n">
        <v>586</v>
      </c>
      <c r="AB1333" t="n">
        <v>4</v>
      </c>
      <c r="AC1333" t="n">
        <v>4</v>
      </c>
      <c r="AD1333" t="n">
        <v>25</v>
      </c>
      <c r="AE1333" t="n">
        <v>27</v>
      </c>
      <c r="AF1333" t="n">
        <v>10</v>
      </c>
      <c r="AG1333" t="n">
        <v>10</v>
      </c>
      <c r="AH1333" t="n">
        <v>5</v>
      </c>
      <c r="AI1333" t="n">
        <v>6</v>
      </c>
      <c r="AJ1333" t="n">
        <v>16</v>
      </c>
      <c r="AK1333" t="n">
        <v>17</v>
      </c>
      <c r="AL1333" t="n">
        <v>3</v>
      </c>
      <c r="AM1333" t="n">
        <v>3</v>
      </c>
      <c r="AN1333" t="n">
        <v>0</v>
      </c>
      <c r="AO1333" t="n">
        <v>0</v>
      </c>
      <c r="AP1333" t="inlineStr">
        <is>
          <t>No</t>
        </is>
      </c>
      <c r="AQ1333" t="inlineStr">
        <is>
          <t>Yes</t>
        </is>
      </c>
      <c r="AR1333">
        <f>HYPERLINK("http://catalog.hathitrust.org/Record/001427694","HathiTrust Record")</f>
        <v/>
      </c>
      <c r="AS1333">
        <f>HYPERLINK("https://creighton-primo.hosted.exlibrisgroup.com/primo-explore/search?tab=default_tab&amp;search_scope=EVERYTHING&amp;vid=01CRU&amp;lang=en_US&amp;offset=0&amp;query=any,contains,991002964929702656","Catalog Record")</f>
        <v/>
      </c>
      <c r="AT1333">
        <f>HYPERLINK("http://www.worldcat.org/oclc/545468","WorldCat Record")</f>
        <v/>
      </c>
      <c r="AU1333" t="inlineStr">
        <is>
          <t>1577215:eng</t>
        </is>
      </c>
      <c r="AV1333" t="inlineStr">
        <is>
          <t>545468</t>
        </is>
      </c>
      <c r="AW1333" t="inlineStr">
        <is>
          <t>991002964929702656</t>
        </is>
      </c>
      <c r="AX1333" t="inlineStr">
        <is>
          <t>991002964929702656</t>
        </is>
      </c>
      <c r="AY1333" t="inlineStr">
        <is>
          <t>2264457600002656</t>
        </is>
      </c>
      <c r="AZ1333" t="inlineStr">
        <is>
          <t>BOOK</t>
        </is>
      </c>
      <c r="BC1333" t="inlineStr">
        <is>
          <t>32285001050326</t>
        </is>
      </c>
      <c r="BD1333" t="inlineStr">
        <is>
          <t>893257923</t>
        </is>
      </c>
    </row>
    <row r="1334">
      <c r="A1334" t="inlineStr">
        <is>
          <t>No</t>
        </is>
      </c>
      <c r="B1334" t="inlineStr">
        <is>
          <t>QD945 .J36 1971</t>
        </is>
      </c>
      <c r="C1334" t="inlineStr">
        <is>
          <t>0                      QD 0945000J  36          1971</t>
        </is>
      </c>
      <c r="D1334" t="inlineStr">
        <is>
          <t>Methods in x-ray crystallography / [by] J.W. Jeffery.</t>
        </is>
      </c>
      <c r="F1334" t="inlineStr">
        <is>
          <t>No</t>
        </is>
      </c>
      <c r="G1334" t="inlineStr">
        <is>
          <t>1</t>
        </is>
      </c>
      <c r="H1334" t="inlineStr">
        <is>
          <t>No</t>
        </is>
      </c>
      <c r="I1334" t="inlineStr">
        <is>
          <t>No</t>
        </is>
      </c>
      <c r="J1334" t="inlineStr">
        <is>
          <t>0</t>
        </is>
      </c>
      <c r="K1334" t="inlineStr">
        <is>
          <t>Jeffery, J. W. (James William), 1911-</t>
        </is>
      </c>
      <c r="L1334" t="inlineStr">
        <is>
          <t>London ; New York : Academic Press, 1971.</t>
        </is>
      </c>
      <c r="M1334" t="inlineStr">
        <is>
          <t>1971</t>
        </is>
      </c>
      <c r="O1334" t="inlineStr">
        <is>
          <t>eng</t>
        </is>
      </c>
      <c r="P1334" t="inlineStr">
        <is>
          <t>enk</t>
        </is>
      </c>
      <c r="R1334" t="inlineStr">
        <is>
          <t xml:space="preserve">QD </t>
        </is>
      </c>
      <c r="S1334" t="n">
        <v>5</v>
      </c>
      <c r="T1334" t="n">
        <v>5</v>
      </c>
      <c r="U1334" t="inlineStr">
        <is>
          <t>1996-12-02</t>
        </is>
      </c>
      <c r="V1334" t="inlineStr">
        <is>
          <t>1996-12-02</t>
        </is>
      </c>
      <c r="W1334" t="inlineStr">
        <is>
          <t>1994-01-04</t>
        </is>
      </c>
      <c r="X1334" t="inlineStr">
        <is>
          <t>1994-01-04</t>
        </is>
      </c>
      <c r="Y1334" t="n">
        <v>385</v>
      </c>
      <c r="Z1334" t="n">
        <v>238</v>
      </c>
      <c r="AA1334" t="n">
        <v>239</v>
      </c>
      <c r="AB1334" t="n">
        <v>2</v>
      </c>
      <c r="AC1334" t="n">
        <v>2</v>
      </c>
      <c r="AD1334" t="n">
        <v>7</v>
      </c>
      <c r="AE1334" t="n">
        <v>7</v>
      </c>
      <c r="AF1334" t="n">
        <v>1</v>
      </c>
      <c r="AG1334" t="n">
        <v>1</v>
      </c>
      <c r="AH1334" t="n">
        <v>2</v>
      </c>
      <c r="AI1334" t="n">
        <v>2</v>
      </c>
      <c r="AJ1334" t="n">
        <v>4</v>
      </c>
      <c r="AK1334" t="n">
        <v>4</v>
      </c>
      <c r="AL1334" t="n">
        <v>1</v>
      </c>
      <c r="AM1334" t="n">
        <v>1</v>
      </c>
      <c r="AN1334" t="n">
        <v>0</v>
      </c>
      <c r="AO1334" t="n">
        <v>0</v>
      </c>
      <c r="AP1334" t="inlineStr">
        <is>
          <t>No</t>
        </is>
      </c>
      <c r="AQ1334" t="inlineStr">
        <is>
          <t>Yes</t>
        </is>
      </c>
      <c r="AR1334">
        <f>HYPERLINK("http://catalog.hathitrust.org/Record/001114541","HathiTrust Record")</f>
        <v/>
      </c>
      <c r="AS1334">
        <f>HYPERLINK("https://creighton-primo.hosted.exlibrisgroup.com/primo-explore/search?tab=default_tab&amp;search_scope=EVERYTHING&amp;vid=01CRU&amp;lang=en_US&amp;offset=0&amp;query=any,contains,991002272139702656","Catalog Record")</f>
        <v/>
      </c>
      <c r="AT1334">
        <f>HYPERLINK("http://www.worldcat.org/oclc/308648","WorldCat Record")</f>
        <v/>
      </c>
      <c r="AU1334" t="inlineStr">
        <is>
          <t>1364482:eng</t>
        </is>
      </c>
      <c r="AV1334" t="inlineStr">
        <is>
          <t>308648</t>
        </is>
      </c>
      <c r="AW1334" t="inlineStr">
        <is>
          <t>991002272139702656</t>
        </is>
      </c>
      <c r="AX1334" t="inlineStr">
        <is>
          <t>991002272139702656</t>
        </is>
      </c>
      <c r="AY1334" t="inlineStr">
        <is>
          <t>2266202670002656</t>
        </is>
      </c>
      <c r="AZ1334" t="inlineStr">
        <is>
          <t>BOOK</t>
        </is>
      </c>
      <c r="BB1334" t="inlineStr">
        <is>
          <t>9780123822505</t>
        </is>
      </c>
      <c r="BC1334" t="inlineStr">
        <is>
          <t>32285001827723</t>
        </is>
      </c>
      <c r="BD1334" t="inlineStr">
        <is>
          <t>893421142</t>
        </is>
      </c>
    </row>
    <row r="1335">
      <c r="A1335" t="inlineStr">
        <is>
          <t>No</t>
        </is>
      </c>
      <c r="B1335" t="inlineStr">
        <is>
          <t>QD945 .L32</t>
        </is>
      </c>
      <c r="C1335" t="inlineStr">
        <is>
          <t>0                      QD 0945000L  32</t>
        </is>
      </c>
      <c r="D1335" t="inlineStr">
        <is>
          <t>Structure determination by X-ray crystallography / M. F. C. Ladd and R. A. Palmer.</t>
        </is>
      </c>
      <c r="F1335" t="inlineStr">
        <is>
          <t>No</t>
        </is>
      </c>
      <c r="G1335" t="inlineStr">
        <is>
          <t>1</t>
        </is>
      </c>
      <c r="H1335" t="inlineStr">
        <is>
          <t>No</t>
        </is>
      </c>
      <c r="I1335" t="inlineStr">
        <is>
          <t>Yes</t>
        </is>
      </c>
      <c r="J1335" t="inlineStr">
        <is>
          <t>0</t>
        </is>
      </c>
      <c r="K1335" t="inlineStr">
        <is>
          <t>Ladd, M. F. C. (Marcus Frederick Charles)</t>
        </is>
      </c>
      <c r="L1335" t="inlineStr">
        <is>
          <t>New York : Plenum Press, c1977.</t>
        </is>
      </c>
      <c r="M1335" t="inlineStr">
        <is>
          <t>1977</t>
        </is>
      </c>
      <c r="O1335" t="inlineStr">
        <is>
          <t>eng</t>
        </is>
      </c>
      <c r="P1335" t="inlineStr">
        <is>
          <t>nyu</t>
        </is>
      </c>
      <c r="R1335" t="inlineStr">
        <is>
          <t xml:space="preserve">QD </t>
        </is>
      </c>
      <c r="S1335" t="n">
        <v>2</v>
      </c>
      <c r="T1335" t="n">
        <v>2</v>
      </c>
      <c r="U1335" t="inlineStr">
        <is>
          <t>1999-05-19</t>
        </is>
      </c>
      <c r="V1335" t="inlineStr">
        <is>
          <t>1999-05-19</t>
        </is>
      </c>
      <c r="W1335" t="inlineStr">
        <is>
          <t>1994-01-04</t>
        </is>
      </c>
      <c r="X1335" t="inlineStr">
        <is>
          <t>1994-01-04</t>
        </is>
      </c>
      <c r="Y1335" t="n">
        <v>442</v>
      </c>
      <c r="Z1335" t="n">
        <v>313</v>
      </c>
      <c r="AA1335" t="n">
        <v>624</v>
      </c>
      <c r="AB1335" t="n">
        <v>3</v>
      </c>
      <c r="AC1335" t="n">
        <v>4</v>
      </c>
      <c r="AD1335" t="n">
        <v>11</v>
      </c>
      <c r="AE1335" t="n">
        <v>28</v>
      </c>
      <c r="AF1335" t="n">
        <v>3</v>
      </c>
      <c r="AG1335" t="n">
        <v>11</v>
      </c>
      <c r="AH1335" t="n">
        <v>2</v>
      </c>
      <c r="AI1335" t="n">
        <v>6</v>
      </c>
      <c r="AJ1335" t="n">
        <v>6</v>
      </c>
      <c r="AK1335" t="n">
        <v>17</v>
      </c>
      <c r="AL1335" t="n">
        <v>2</v>
      </c>
      <c r="AM1335" t="n">
        <v>3</v>
      </c>
      <c r="AN1335" t="n">
        <v>0</v>
      </c>
      <c r="AO1335" t="n">
        <v>0</v>
      </c>
      <c r="AP1335" t="inlineStr">
        <is>
          <t>No</t>
        </is>
      </c>
      <c r="AQ1335" t="inlineStr">
        <is>
          <t>Yes</t>
        </is>
      </c>
      <c r="AR1335">
        <f>HYPERLINK("http://catalog.hathitrust.org/Record/000102085","HathiTrust Record")</f>
        <v/>
      </c>
      <c r="AS1335">
        <f>HYPERLINK("https://creighton-primo.hosted.exlibrisgroup.com/primo-explore/search?tab=default_tab&amp;search_scope=EVERYTHING&amp;vid=01CRU&amp;lang=en_US&amp;offset=0&amp;query=any,contains,991004120229702656","Catalog Record")</f>
        <v/>
      </c>
      <c r="AT1335">
        <f>HYPERLINK("http://www.worldcat.org/oclc/2424868","WorldCat Record")</f>
        <v/>
      </c>
      <c r="AU1335" t="inlineStr">
        <is>
          <t>329935:eng</t>
        </is>
      </c>
      <c r="AV1335" t="inlineStr">
        <is>
          <t>2424868</t>
        </is>
      </c>
      <c r="AW1335" t="inlineStr">
        <is>
          <t>991004120229702656</t>
        </is>
      </c>
      <c r="AX1335" t="inlineStr">
        <is>
          <t>991004120229702656</t>
        </is>
      </c>
      <c r="AY1335" t="inlineStr">
        <is>
          <t>2265141190002656</t>
        </is>
      </c>
      <c r="AZ1335" t="inlineStr">
        <is>
          <t>BOOK</t>
        </is>
      </c>
      <c r="BB1335" t="inlineStr">
        <is>
          <t>9780306308444</t>
        </is>
      </c>
      <c r="BC1335" t="inlineStr">
        <is>
          <t>32285001827707</t>
        </is>
      </c>
      <c r="BD1335" t="inlineStr">
        <is>
          <t>893423410</t>
        </is>
      </c>
    </row>
    <row r="1336">
      <c r="A1336" t="inlineStr">
        <is>
          <t>No</t>
        </is>
      </c>
      <c r="B1336" t="inlineStr">
        <is>
          <t>QD945 .L48</t>
        </is>
      </c>
      <c r="C1336" t="inlineStr">
        <is>
          <t>0                      QD 0945000L  48</t>
        </is>
      </c>
      <c r="D1336" t="inlineStr">
        <is>
          <t>Crystals and X-rays, by H. S. Lipson.</t>
        </is>
      </c>
      <c r="F1336" t="inlineStr">
        <is>
          <t>No</t>
        </is>
      </c>
      <c r="G1336" t="inlineStr">
        <is>
          <t>1</t>
        </is>
      </c>
      <c r="H1336" t="inlineStr">
        <is>
          <t>No</t>
        </is>
      </c>
      <c r="I1336" t="inlineStr">
        <is>
          <t>No</t>
        </is>
      </c>
      <c r="J1336" t="inlineStr">
        <is>
          <t>0</t>
        </is>
      </c>
      <c r="K1336" t="inlineStr">
        <is>
          <t>Lipson, H. (Henry), 1910-</t>
        </is>
      </c>
      <c r="L1336" t="inlineStr">
        <is>
          <t>London, Wykeham, 1970.</t>
        </is>
      </c>
      <c r="M1336" t="inlineStr">
        <is>
          <t>1970</t>
        </is>
      </c>
      <c r="O1336" t="inlineStr">
        <is>
          <t>eng</t>
        </is>
      </c>
      <c r="P1336" t="inlineStr">
        <is>
          <t>enk</t>
        </is>
      </c>
      <c r="Q1336" t="inlineStr">
        <is>
          <t>The Wykeham science series, 13</t>
        </is>
      </c>
      <c r="R1336" t="inlineStr">
        <is>
          <t xml:space="preserve">QD </t>
        </is>
      </c>
      <c r="S1336" t="n">
        <v>2</v>
      </c>
      <c r="T1336" t="n">
        <v>2</v>
      </c>
      <c r="U1336" t="inlineStr">
        <is>
          <t>2001-04-26</t>
        </is>
      </c>
      <c r="V1336" t="inlineStr">
        <is>
          <t>2001-04-26</t>
        </is>
      </c>
      <c r="W1336" t="inlineStr">
        <is>
          <t>1992-04-02</t>
        </is>
      </c>
      <c r="X1336" t="inlineStr">
        <is>
          <t>1992-04-02</t>
        </is>
      </c>
      <c r="Y1336" t="n">
        <v>524</v>
      </c>
      <c r="Z1336" t="n">
        <v>362</v>
      </c>
      <c r="AA1336" t="n">
        <v>365</v>
      </c>
      <c r="AB1336" t="n">
        <v>6</v>
      </c>
      <c r="AC1336" t="n">
        <v>6</v>
      </c>
      <c r="AD1336" t="n">
        <v>16</v>
      </c>
      <c r="AE1336" t="n">
        <v>16</v>
      </c>
      <c r="AF1336" t="n">
        <v>4</v>
      </c>
      <c r="AG1336" t="n">
        <v>4</v>
      </c>
      <c r="AH1336" t="n">
        <v>3</v>
      </c>
      <c r="AI1336" t="n">
        <v>3</v>
      </c>
      <c r="AJ1336" t="n">
        <v>7</v>
      </c>
      <c r="AK1336" t="n">
        <v>7</v>
      </c>
      <c r="AL1336" t="n">
        <v>5</v>
      </c>
      <c r="AM1336" t="n">
        <v>5</v>
      </c>
      <c r="AN1336" t="n">
        <v>0</v>
      </c>
      <c r="AO1336" t="n">
        <v>0</v>
      </c>
      <c r="AP1336" t="inlineStr">
        <is>
          <t>No</t>
        </is>
      </c>
      <c r="AQ1336" t="inlineStr">
        <is>
          <t>Yes</t>
        </is>
      </c>
      <c r="AR1336">
        <f>HYPERLINK("http://catalog.hathitrust.org/Record/001114545","HathiTrust Record")</f>
        <v/>
      </c>
      <c r="AS1336">
        <f>HYPERLINK("https://creighton-primo.hosted.exlibrisgroup.com/primo-explore/search?tab=default_tab&amp;search_scope=EVERYTHING&amp;vid=01CRU&amp;lang=en_US&amp;offset=0&amp;query=any,contains,991001087849702656","Catalog Record")</f>
        <v/>
      </c>
      <c r="AT1336">
        <f>HYPERLINK("http://www.worldcat.org/oclc/180889","WorldCat Record")</f>
        <v/>
      </c>
      <c r="AU1336" t="inlineStr">
        <is>
          <t>3943534910:eng</t>
        </is>
      </c>
      <c r="AV1336" t="inlineStr">
        <is>
          <t>180889</t>
        </is>
      </c>
      <c r="AW1336" t="inlineStr">
        <is>
          <t>991001087849702656</t>
        </is>
      </c>
      <c r="AX1336" t="inlineStr">
        <is>
          <t>991001087849702656</t>
        </is>
      </c>
      <c r="AY1336" t="inlineStr">
        <is>
          <t>2271852750002656</t>
        </is>
      </c>
      <c r="AZ1336" t="inlineStr">
        <is>
          <t>BOOK</t>
        </is>
      </c>
      <c r="BB1336" t="inlineStr">
        <is>
          <t>9780851091501</t>
        </is>
      </c>
      <c r="BC1336" t="inlineStr">
        <is>
          <t>32285001050821</t>
        </is>
      </c>
      <c r="BD1336" t="inlineStr">
        <is>
          <t>893321623</t>
        </is>
      </c>
    </row>
    <row r="1337">
      <c r="A1337" t="inlineStr">
        <is>
          <t>No</t>
        </is>
      </c>
      <c r="B1337" t="inlineStr">
        <is>
          <t>QD945 .L52</t>
        </is>
      </c>
      <c r="C1337" t="inlineStr">
        <is>
          <t>0                      QD 0945000L  52</t>
        </is>
      </c>
      <c r="D1337" t="inlineStr">
        <is>
          <t>Interpretation of X-ray powder diffraction patterns [by] H. Lipson [and] H. Steeple.</t>
        </is>
      </c>
      <c r="F1337" t="inlineStr">
        <is>
          <t>No</t>
        </is>
      </c>
      <c r="G1337" t="inlineStr">
        <is>
          <t>1</t>
        </is>
      </c>
      <c r="H1337" t="inlineStr">
        <is>
          <t>No</t>
        </is>
      </c>
      <c r="I1337" t="inlineStr">
        <is>
          <t>No</t>
        </is>
      </c>
      <c r="J1337" t="inlineStr">
        <is>
          <t>0</t>
        </is>
      </c>
      <c r="K1337" t="inlineStr">
        <is>
          <t>Lipson, H. (Henry), 1910-</t>
        </is>
      </c>
      <c r="L1337" t="inlineStr">
        <is>
          <t>London, Macmillan; New York, St Martin's Press [1970]</t>
        </is>
      </c>
      <c r="M1337" t="inlineStr">
        <is>
          <t>1970</t>
        </is>
      </c>
      <c r="O1337" t="inlineStr">
        <is>
          <t>eng</t>
        </is>
      </c>
      <c r="P1337" t="inlineStr">
        <is>
          <t>enk</t>
        </is>
      </c>
      <c r="R1337" t="inlineStr">
        <is>
          <t xml:space="preserve">QD </t>
        </is>
      </c>
      <c r="S1337" t="n">
        <v>4</v>
      </c>
      <c r="T1337" t="n">
        <v>4</v>
      </c>
      <c r="U1337" t="inlineStr">
        <is>
          <t>2001-04-26</t>
        </is>
      </c>
      <c r="V1337" t="inlineStr">
        <is>
          <t>2001-04-26</t>
        </is>
      </c>
      <c r="W1337" t="inlineStr">
        <is>
          <t>1997-06-20</t>
        </is>
      </c>
      <c r="X1337" t="inlineStr">
        <is>
          <t>1997-06-20</t>
        </is>
      </c>
      <c r="Y1337" t="n">
        <v>400</v>
      </c>
      <c r="Z1337" t="n">
        <v>247</v>
      </c>
      <c r="AA1337" t="n">
        <v>249</v>
      </c>
      <c r="AB1337" t="n">
        <v>4</v>
      </c>
      <c r="AC1337" t="n">
        <v>4</v>
      </c>
      <c r="AD1337" t="n">
        <v>10</v>
      </c>
      <c r="AE1337" t="n">
        <v>10</v>
      </c>
      <c r="AF1337" t="n">
        <v>1</v>
      </c>
      <c r="AG1337" t="n">
        <v>1</v>
      </c>
      <c r="AH1337" t="n">
        <v>2</v>
      </c>
      <c r="AI1337" t="n">
        <v>2</v>
      </c>
      <c r="AJ1337" t="n">
        <v>6</v>
      </c>
      <c r="AK1337" t="n">
        <v>6</v>
      </c>
      <c r="AL1337" t="n">
        <v>3</v>
      </c>
      <c r="AM1337" t="n">
        <v>3</v>
      </c>
      <c r="AN1337" t="n">
        <v>0</v>
      </c>
      <c r="AO1337" t="n">
        <v>0</v>
      </c>
      <c r="AP1337" t="inlineStr">
        <is>
          <t>No</t>
        </is>
      </c>
      <c r="AQ1337" t="inlineStr">
        <is>
          <t>No</t>
        </is>
      </c>
      <c r="AS1337">
        <f>HYPERLINK("https://creighton-primo.hosted.exlibrisgroup.com/primo-explore/search?tab=default_tab&amp;search_scope=EVERYTHING&amp;vid=01CRU&amp;lang=en_US&amp;offset=0&amp;query=any,contains,991000549579702656","Catalog Record")</f>
        <v/>
      </c>
      <c r="AT1337">
        <f>HYPERLINK("http://www.worldcat.org/oclc/92309","WorldCat Record")</f>
        <v/>
      </c>
      <c r="AU1337" t="inlineStr">
        <is>
          <t>1305430:eng</t>
        </is>
      </c>
      <c r="AV1337" t="inlineStr">
        <is>
          <t>92309</t>
        </is>
      </c>
      <c r="AW1337" t="inlineStr">
        <is>
          <t>991000549579702656</t>
        </is>
      </c>
      <c r="AX1337" t="inlineStr">
        <is>
          <t>991000549579702656</t>
        </is>
      </c>
      <c r="AY1337" t="inlineStr">
        <is>
          <t>2262649790002656</t>
        </is>
      </c>
      <c r="AZ1337" t="inlineStr">
        <is>
          <t>BOOK</t>
        </is>
      </c>
      <c r="BC1337" t="inlineStr">
        <is>
          <t>32285002850666</t>
        </is>
      </c>
      <c r="BD1337" t="inlineStr">
        <is>
          <t>893620575</t>
        </is>
      </c>
    </row>
    <row r="1338">
      <c r="A1338" t="inlineStr">
        <is>
          <t>No</t>
        </is>
      </c>
      <c r="B1338" t="inlineStr">
        <is>
          <t>QD945 .M37713 2004</t>
        </is>
      </c>
      <c r="C1338" t="inlineStr">
        <is>
          <t>0                      QD 0945000M  37713       2004</t>
        </is>
      </c>
      <c r="D1338" t="inlineStr">
        <is>
          <t>Crystal structure determination / Werner Massa ; translated into English by Robert O. Gould.</t>
        </is>
      </c>
      <c r="F1338" t="inlineStr">
        <is>
          <t>No</t>
        </is>
      </c>
      <c r="G1338" t="inlineStr">
        <is>
          <t>1</t>
        </is>
      </c>
      <c r="H1338" t="inlineStr">
        <is>
          <t>No</t>
        </is>
      </c>
      <c r="I1338" t="inlineStr">
        <is>
          <t>Yes</t>
        </is>
      </c>
      <c r="J1338" t="inlineStr">
        <is>
          <t>0</t>
        </is>
      </c>
      <c r="K1338" t="inlineStr">
        <is>
          <t>Massa, Werner, 1944-</t>
        </is>
      </c>
      <c r="L1338" t="inlineStr">
        <is>
          <t>Berlin ; New York : Springer, c2004.</t>
        </is>
      </c>
      <c r="M1338" t="inlineStr">
        <is>
          <t>2004</t>
        </is>
      </c>
      <c r="N1338" t="inlineStr">
        <is>
          <t>2nd completely updated ed.</t>
        </is>
      </c>
      <c r="O1338" t="inlineStr">
        <is>
          <t>eng</t>
        </is>
      </c>
      <c r="P1338" t="inlineStr">
        <is>
          <t xml:space="preserve">gw </t>
        </is>
      </c>
      <c r="R1338" t="inlineStr">
        <is>
          <t xml:space="preserve">QD </t>
        </is>
      </c>
      <c r="S1338" t="n">
        <v>1</v>
      </c>
      <c r="T1338" t="n">
        <v>1</v>
      </c>
      <c r="U1338" t="inlineStr">
        <is>
          <t>2007-03-28</t>
        </is>
      </c>
      <c r="V1338" t="inlineStr">
        <is>
          <t>2007-03-28</t>
        </is>
      </c>
      <c r="W1338" t="inlineStr">
        <is>
          <t>2007-03-28</t>
        </is>
      </c>
      <c r="X1338" t="inlineStr">
        <is>
          <t>2007-03-28</t>
        </is>
      </c>
      <c r="Y1338" t="n">
        <v>335</v>
      </c>
      <c r="Z1338" t="n">
        <v>246</v>
      </c>
      <c r="AA1338" t="n">
        <v>399</v>
      </c>
      <c r="AB1338" t="n">
        <v>5</v>
      </c>
      <c r="AC1338" t="n">
        <v>6</v>
      </c>
      <c r="AD1338" t="n">
        <v>11</v>
      </c>
      <c r="AE1338" t="n">
        <v>23</v>
      </c>
      <c r="AF1338" t="n">
        <v>3</v>
      </c>
      <c r="AG1338" t="n">
        <v>8</v>
      </c>
      <c r="AH1338" t="n">
        <v>3</v>
      </c>
      <c r="AI1338" t="n">
        <v>3</v>
      </c>
      <c r="AJ1338" t="n">
        <v>4</v>
      </c>
      <c r="AK1338" t="n">
        <v>13</v>
      </c>
      <c r="AL1338" t="n">
        <v>4</v>
      </c>
      <c r="AM1338" t="n">
        <v>5</v>
      </c>
      <c r="AN1338" t="n">
        <v>0</v>
      </c>
      <c r="AO1338" t="n">
        <v>0</v>
      </c>
      <c r="AP1338" t="inlineStr">
        <is>
          <t>No</t>
        </is>
      </c>
      <c r="AQ1338" t="inlineStr">
        <is>
          <t>No</t>
        </is>
      </c>
      <c r="AS1338">
        <f>HYPERLINK("https://creighton-primo.hosted.exlibrisgroup.com/primo-explore/search?tab=default_tab&amp;search_scope=EVERYTHING&amp;vid=01CRU&amp;lang=en_US&amp;offset=0&amp;query=any,contains,991005046829702656","Catalog Record")</f>
        <v/>
      </c>
      <c r="AT1338">
        <f>HYPERLINK("http://www.worldcat.org/oclc/53972127","WorldCat Record")</f>
        <v/>
      </c>
      <c r="AU1338" t="inlineStr">
        <is>
          <t>12685712:eng</t>
        </is>
      </c>
      <c r="AV1338" t="inlineStr">
        <is>
          <t>53972127</t>
        </is>
      </c>
      <c r="AW1338" t="inlineStr">
        <is>
          <t>991005046829702656</t>
        </is>
      </c>
      <c r="AX1338" t="inlineStr">
        <is>
          <t>991005046829702656</t>
        </is>
      </c>
      <c r="AY1338" t="inlineStr">
        <is>
          <t>2267821040002656</t>
        </is>
      </c>
      <c r="AZ1338" t="inlineStr">
        <is>
          <t>BOOK</t>
        </is>
      </c>
      <c r="BB1338" t="inlineStr">
        <is>
          <t>9783540206446</t>
        </is>
      </c>
      <c r="BC1338" t="inlineStr">
        <is>
          <t>32285005283303</t>
        </is>
      </c>
      <c r="BD1338" t="inlineStr">
        <is>
          <t>893520334</t>
        </is>
      </c>
    </row>
    <row r="1339">
      <c r="A1339" t="inlineStr">
        <is>
          <t>No</t>
        </is>
      </c>
      <c r="B1339" t="inlineStr">
        <is>
          <t>QD945 .N28</t>
        </is>
      </c>
      <c r="C1339" t="inlineStr">
        <is>
          <t>0                      QD 0945000N  28</t>
        </is>
      </c>
      <c r="D1339" t="inlineStr">
        <is>
          <t>Theory of crystal dislocations, by F.R.N. Nabarro.</t>
        </is>
      </c>
      <c r="F1339" t="inlineStr">
        <is>
          <t>No</t>
        </is>
      </c>
      <c r="G1339" t="inlineStr">
        <is>
          <t>1</t>
        </is>
      </c>
      <c r="H1339" t="inlineStr">
        <is>
          <t>No</t>
        </is>
      </c>
      <c r="I1339" t="inlineStr">
        <is>
          <t>No</t>
        </is>
      </c>
      <c r="J1339" t="inlineStr">
        <is>
          <t>0</t>
        </is>
      </c>
      <c r="K1339" t="inlineStr">
        <is>
          <t>Nabarro, F. R. N. (Frank Reginald Nunes), 1916-2006.</t>
        </is>
      </c>
      <c r="L1339" t="inlineStr">
        <is>
          <t>Oxford, Clarendon P., 1967.</t>
        </is>
      </c>
      <c r="M1339" t="inlineStr">
        <is>
          <t>1967</t>
        </is>
      </c>
      <c r="O1339" t="inlineStr">
        <is>
          <t>eng</t>
        </is>
      </c>
      <c r="P1339" t="inlineStr">
        <is>
          <t>enk</t>
        </is>
      </c>
      <c r="Q1339" t="inlineStr">
        <is>
          <t>International series of monographs on physics</t>
        </is>
      </c>
      <c r="R1339" t="inlineStr">
        <is>
          <t xml:space="preserve">QD </t>
        </is>
      </c>
      <c r="S1339" t="n">
        <v>0</v>
      </c>
      <c r="T1339" t="n">
        <v>0</v>
      </c>
      <c r="U1339" t="inlineStr">
        <is>
          <t>2008-05-13</t>
        </is>
      </c>
      <c r="V1339" t="inlineStr">
        <is>
          <t>2008-05-13</t>
        </is>
      </c>
      <c r="W1339" t="inlineStr">
        <is>
          <t>1997-06-20</t>
        </is>
      </c>
      <c r="X1339" t="inlineStr">
        <is>
          <t>1997-06-20</t>
        </is>
      </c>
      <c r="Y1339" t="n">
        <v>418</v>
      </c>
      <c r="Z1339" t="n">
        <v>266</v>
      </c>
      <c r="AA1339" t="n">
        <v>302</v>
      </c>
      <c r="AB1339" t="n">
        <v>2</v>
      </c>
      <c r="AC1339" t="n">
        <v>2</v>
      </c>
      <c r="AD1339" t="n">
        <v>11</v>
      </c>
      <c r="AE1339" t="n">
        <v>11</v>
      </c>
      <c r="AF1339" t="n">
        <v>2</v>
      </c>
      <c r="AG1339" t="n">
        <v>2</v>
      </c>
      <c r="AH1339" t="n">
        <v>3</v>
      </c>
      <c r="AI1339" t="n">
        <v>3</v>
      </c>
      <c r="AJ1339" t="n">
        <v>7</v>
      </c>
      <c r="AK1339" t="n">
        <v>7</v>
      </c>
      <c r="AL1339" t="n">
        <v>1</v>
      </c>
      <c r="AM1339" t="n">
        <v>1</v>
      </c>
      <c r="AN1339" t="n">
        <v>0</v>
      </c>
      <c r="AO1339" t="n">
        <v>0</v>
      </c>
      <c r="AP1339" t="inlineStr">
        <is>
          <t>No</t>
        </is>
      </c>
      <c r="AQ1339" t="inlineStr">
        <is>
          <t>Yes</t>
        </is>
      </c>
      <c r="AR1339">
        <f>HYPERLINK("http://catalog.hathitrust.org/Record/001035538","HathiTrust Record")</f>
        <v/>
      </c>
      <c r="AS1339">
        <f>HYPERLINK("https://creighton-primo.hosted.exlibrisgroup.com/primo-explore/search?tab=default_tab&amp;search_scope=EVERYTHING&amp;vid=01CRU&amp;lang=en_US&amp;offset=0&amp;query=any,contains,991002815179702656","Catalog Record")</f>
        <v/>
      </c>
      <c r="AT1339">
        <f>HYPERLINK("http://www.worldcat.org/oclc/458049","WorldCat Record")</f>
        <v/>
      </c>
      <c r="AU1339" t="inlineStr">
        <is>
          <t>1476776:eng</t>
        </is>
      </c>
      <c r="AV1339" t="inlineStr">
        <is>
          <t>458049</t>
        </is>
      </c>
      <c r="AW1339" t="inlineStr">
        <is>
          <t>991002815179702656</t>
        </is>
      </c>
      <c r="AX1339" t="inlineStr">
        <is>
          <t>991002815179702656</t>
        </is>
      </c>
      <c r="AY1339" t="inlineStr">
        <is>
          <t>2265796190002656</t>
        </is>
      </c>
      <c r="AZ1339" t="inlineStr">
        <is>
          <t>BOOK</t>
        </is>
      </c>
      <c r="BB1339" t="inlineStr">
        <is>
          <t>9780198512448</t>
        </is>
      </c>
      <c r="BC1339" t="inlineStr">
        <is>
          <t>32285002850690</t>
        </is>
      </c>
      <c r="BD1339" t="inlineStr">
        <is>
          <t>893352525</t>
        </is>
      </c>
    </row>
    <row r="1340">
      <c r="A1340" t="inlineStr">
        <is>
          <t>No</t>
        </is>
      </c>
      <c r="B1340" t="inlineStr">
        <is>
          <t>QD945 .N83</t>
        </is>
      </c>
      <c r="C1340" t="inlineStr">
        <is>
          <t>0                      QD 0945000N  83</t>
        </is>
      </c>
      <c r="D1340" t="inlineStr">
        <is>
          <t>X-ray diffraction methods [by] E. W. Nuffield.</t>
        </is>
      </c>
      <c r="F1340" t="inlineStr">
        <is>
          <t>No</t>
        </is>
      </c>
      <c r="G1340" t="inlineStr">
        <is>
          <t>1</t>
        </is>
      </c>
      <c r="H1340" t="inlineStr">
        <is>
          <t>No</t>
        </is>
      </c>
      <c r="I1340" t="inlineStr">
        <is>
          <t>No</t>
        </is>
      </c>
      <c r="J1340" t="inlineStr">
        <is>
          <t>0</t>
        </is>
      </c>
      <c r="K1340" t="inlineStr">
        <is>
          <t>Nuffield, E. W.</t>
        </is>
      </c>
      <c r="L1340" t="inlineStr">
        <is>
          <t>New York, Wiley [1966]</t>
        </is>
      </c>
      <c r="M1340" t="inlineStr">
        <is>
          <t>1966</t>
        </is>
      </c>
      <c r="O1340" t="inlineStr">
        <is>
          <t>eng</t>
        </is>
      </c>
      <c r="P1340" t="inlineStr">
        <is>
          <t>nyu</t>
        </is>
      </c>
      <c r="R1340" t="inlineStr">
        <is>
          <t xml:space="preserve">QD </t>
        </is>
      </c>
      <c r="S1340" t="n">
        <v>11</v>
      </c>
      <c r="T1340" t="n">
        <v>11</v>
      </c>
      <c r="U1340" t="inlineStr">
        <is>
          <t>2001-04-26</t>
        </is>
      </c>
      <c r="V1340" t="inlineStr">
        <is>
          <t>2001-04-26</t>
        </is>
      </c>
      <c r="W1340" t="inlineStr">
        <is>
          <t>1992-03-31</t>
        </is>
      </c>
      <c r="X1340" t="inlineStr">
        <is>
          <t>1992-03-31</t>
        </is>
      </c>
      <c r="Y1340" t="n">
        <v>571</v>
      </c>
      <c r="Z1340" t="n">
        <v>415</v>
      </c>
      <c r="AA1340" t="n">
        <v>417</v>
      </c>
      <c r="AB1340" t="n">
        <v>4</v>
      </c>
      <c r="AC1340" t="n">
        <v>4</v>
      </c>
      <c r="AD1340" t="n">
        <v>17</v>
      </c>
      <c r="AE1340" t="n">
        <v>17</v>
      </c>
      <c r="AF1340" t="n">
        <v>6</v>
      </c>
      <c r="AG1340" t="n">
        <v>6</v>
      </c>
      <c r="AH1340" t="n">
        <v>2</v>
      </c>
      <c r="AI1340" t="n">
        <v>2</v>
      </c>
      <c r="AJ1340" t="n">
        <v>8</v>
      </c>
      <c r="AK1340" t="n">
        <v>8</v>
      </c>
      <c r="AL1340" t="n">
        <v>3</v>
      </c>
      <c r="AM1340" t="n">
        <v>3</v>
      </c>
      <c r="AN1340" t="n">
        <v>0</v>
      </c>
      <c r="AO1340" t="n">
        <v>0</v>
      </c>
      <c r="AP1340" t="inlineStr">
        <is>
          <t>No</t>
        </is>
      </c>
      <c r="AQ1340" t="inlineStr">
        <is>
          <t>Yes</t>
        </is>
      </c>
      <c r="AR1340">
        <f>HYPERLINK("http://catalog.hathitrust.org/Record/001114549","HathiTrust Record")</f>
        <v/>
      </c>
      <c r="AS1340">
        <f>HYPERLINK("https://creighton-primo.hosted.exlibrisgroup.com/primo-explore/search?tab=default_tab&amp;search_scope=EVERYTHING&amp;vid=01CRU&amp;lang=en_US&amp;offset=0&amp;query=any,contains,991002851769702656","Catalog Record")</f>
        <v/>
      </c>
      <c r="AT1340">
        <f>HYPERLINK("http://www.worldcat.org/oclc/487457","WorldCat Record")</f>
        <v/>
      </c>
      <c r="AU1340" t="inlineStr">
        <is>
          <t>1573450:eng</t>
        </is>
      </c>
      <c r="AV1340" t="inlineStr">
        <is>
          <t>487457</t>
        </is>
      </c>
      <c r="AW1340" t="inlineStr">
        <is>
          <t>991002851769702656</t>
        </is>
      </c>
      <c r="AX1340" t="inlineStr">
        <is>
          <t>991002851769702656</t>
        </is>
      </c>
      <c r="AY1340" t="inlineStr">
        <is>
          <t>2255349770002656</t>
        </is>
      </c>
      <c r="AZ1340" t="inlineStr">
        <is>
          <t>BOOK</t>
        </is>
      </c>
      <c r="BC1340" t="inlineStr">
        <is>
          <t>32285001050334</t>
        </is>
      </c>
      <c r="BD1340" t="inlineStr">
        <is>
          <t>893710756</t>
        </is>
      </c>
    </row>
    <row r="1341">
      <c r="A1341" t="inlineStr">
        <is>
          <t>No</t>
        </is>
      </c>
      <c r="B1341" t="inlineStr">
        <is>
          <t>QD945 .P7</t>
        </is>
      </c>
      <c r="C1341" t="inlineStr">
        <is>
          <t>0                      QD 0945000P  7</t>
        </is>
      </c>
      <c r="D1341" t="inlineStr">
        <is>
          <t>Laue atlas: plotted Laue back-reflection patterns of the elements, the compounds RX and RX₂ [by] Eduard Preuss, Bernhard Krahl-Urban [and] Rainer Butz. Edited by Kernforschungsanlage Jülich. (Jülich Nuclear Research Center).</t>
        </is>
      </c>
      <c r="F1341" t="inlineStr">
        <is>
          <t>No</t>
        </is>
      </c>
      <c r="G1341" t="inlineStr">
        <is>
          <t>1</t>
        </is>
      </c>
      <c r="H1341" t="inlineStr">
        <is>
          <t>No</t>
        </is>
      </c>
      <c r="I1341" t="inlineStr">
        <is>
          <t>No</t>
        </is>
      </c>
      <c r="J1341" t="inlineStr">
        <is>
          <t>0</t>
        </is>
      </c>
      <c r="K1341" t="inlineStr">
        <is>
          <t>Preuss, Eduard.</t>
        </is>
      </c>
      <c r="L1341" t="inlineStr">
        <is>
          <t>New York, Wiley [1974]</t>
        </is>
      </c>
      <c r="M1341" t="inlineStr">
        <is>
          <t>1974</t>
        </is>
      </c>
      <c r="O1341" t="inlineStr">
        <is>
          <t>eng</t>
        </is>
      </c>
      <c r="P1341" t="inlineStr">
        <is>
          <t>nyu</t>
        </is>
      </c>
      <c r="R1341" t="inlineStr">
        <is>
          <t xml:space="preserve">QD </t>
        </is>
      </c>
      <c r="S1341" t="n">
        <v>3</v>
      </c>
      <c r="T1341" t="n">
        <v>3</v>
      </c>
      <c r="U1341" t="inlineStr">
        <is>
          <t>1999-01-08</t>
        </is>
      </c>
      <c r="V1341" t="inlineStr">
        <is>
          <t>1999-01-08</t>
        </is>
      </c>
      <c r="W1341" t="inlineStr">
        <is>
          <t>1997-06-20</t>
        </is>
      </c>
      <c r="X1341" t="inlineStr">
        <is>
          <t>1997-06-20</t>
        </is>
      </c>
      <c r="Y1341" t="n">
        <v>137</v>
      </c>
      <c r="Z1341" t="n">
        <v>118</v>
      </c>
      <c r="AA1341" t="n">
        <v>121</v>
      </c>
      <c r="AB1341" t="n">
        <v>3</v>
      </c>
      <c r="AC1341" t="n">
        <v>3</v>
      </c>
      <c r="AD1341" t="n">
        <v>5</v>
      </c>
      <c r="AE1341" t="n">
        <v>5</v>
      </c>
      <c r="AF1341" t="n">
        <v>1</v>
      </c>
      <c r="AG1341" t="n">
        <v>1</v>
      </c>
      <c r="AH1341" t="n">
        <v>0</v>
      </c>
      <c r="AI1341" t="n">
        <v>0</v>
      </c>
      <c r="AJ1341" t="n">
        <v>3</v>
      </c>
      <c r="AK1341" t="n">
        <v>3</v>
      </c>
      <c r="AL1341" t="n">
        <v>2</v>
      </c>
      <c r="AM1341" t="n">
        <v>2</v>
      </c>
      <c r="AN1341" t="n">
        <v>0</v>
      </c>
      <c r="AO1341" t="n">
        <v>0</v>
      </c>
      <c r="AP1341" t="inlineStr">
        <is>
          <t>No</t>
        </is>
      </c>
      <c r="AQ1341" t="inlineStr">
        <is>
          <t>Yes</t>
        </is>
      </c>
      <c r="AR1341">
        <f>HYPERLINK("http://catalog.hathitrust.org/Record/009464826","HathiTrust Record")</f>
        <v/>
      </c>
      <c r="AS1341">
        <f>HYPERLINK("https://creighton-primo.hosted.exlibrisgroup.com/primo-explore/search?tab=default_tab&amp;search_scope=EVERYTHING&amp;vid=01CRU&amp;lang=en_US&amp;offset=0&amp;query=any,contains,991003443989702656","Catalog Record")</f>
        <v/>
      </c>
      <c r="AT1341">
        <f>HYPERLINK("http://www.worldcat.org/oclc/979983","WorldCat Record")</f>
        <v/>
      </c>
      <c r="AU1341" t="inlineStr">
        <is>
          <t>41370641:eng</t>
        </is>
      </c>
      <c r="AV1341" t="inlineStr">
        <is>
          <t>979983</t>
        </is>
      </c>
      <c r="AW1341" t="inlineStr">
        <is>
          <t>991003443989702656</t>
        </is>
      </c>
      <c r="AX1341" t="inlineStr">
        <is>
          <t>991003443989702656</t>
        </is>
      </c>
      <c r="AY1341" t="inlineStr">
        <is>
          <t>2259835800002656</t>
        </is>
      </c>
      <c r="AZ1341" t="inlineStr">
        <is>
          <t>BOOK</t>
        </is>
      </c>
      <c r="BB1341" t="inlineStr">
        <is>
          <t>9780470696859</t>
        </is>
      </c>
      <c r="BC1341" t="inlineStr">
        <is>
          <t>32285002850716</t>
        </is>
      </c>
      <c r="BD1341" t="inlineStr">
        <is>
          <t>893531187</t>
        </is>
      </c>
    </row>
    <row r="1342">
      <c r="A1342" t="inlineStr">
        <is>
          <t>No</t>
        </is>
      </c>
      <c r="B1342" t="inlineStr">
        <is>
          <t>QD945 .S8</t>
        </is>
      </c>
      <c r="C1342" t="inlineStr">
        <is>
          <t>0                      QD 0945000S  8</t>
        </is>
      </c>
      <c r="D1342" t="inlineStr">
        <is>
          <t>X-ray structure determination; a practical guide [by] George H. Stout [and] Lyle H. Jensen.</t>
        </is>
      </c>
      <c r="F1342" t="inlineStr">
        <is>
          <t>No</t>
        </is>
      </c>
      <c r="G1342" t="inlineStr">
        <is>
          <t>1</t>
        </is>
      </c>
      <c r="H1342" t="inlineStr">
        <is>
          <t>No</t>
        </is>
      </c>
      <c r="I1342" t="inlineStr">
        <is>
          <t>No</t>
        </is>
      </c>
      <c r="J1342" t="inlineStr">
        <is>
          <t>0</t>
        </is>
      </c>
      <c r="K1342" t="inlineStr">
        <is>
          <t>Stout, George H., 1932-</t>
        </is>
      </c>
      <c r="L1342" t="inlineStr">
        <is>
          <t>New York, Macmillan [1968]</t>
        </is>
      </c>
      <c r="M1342" t="inlineStr">
        <is>
          <t>1968</t>
        </is>
      </c>
      <c r="O1342" t="inlineStr">
        <is>
          <t>eng</t>
        </is>
      </c>
      <c r="P1342" t="inlineStr">
        <is>
          <t>nyu</t>
        </is>
      </c>
      <c r="R1342" t="inlineStr">
        <is>
          <t xml:space="preserve">QD </t>
        </is>
      </c>
      <c r="S1342" t="n">
        <v>2</v>
      </c>
      <c r="T1342" t="n">
        <v>2</v>
      </c>
      <c r="U1342" t="inlineStr">
        <is>
          <t>1999-05-19</t>
        </is>
      </c>
      <c r="V1342" t="inlineStr">
        <is>
          <t>1999-05-19</t>
        </is>
      </c>
      <c r="W1342" t="inlineStr">
        <is>
          <t>1997-06-20</t>
        </is>
      </c>
      <c r="X1342" t="inlineStr">
        <is>
          <t>1997-06-20</t>
        </is>
      </c>
      <c r="Y1342" t="n">
        <v>673</v>
      </c>
      <c r="Z1342" t="n">
        <v>546</v>
      </c>
      <c r="AA1342" t="n">
        <v>732</v>
      </c>
      <c r="AB1342" t="n">
        <v>6</v>
      </c>
      <c r="AC1342" t="n">
        <v>7</v>
      </c>
      <c r="AD1342" t="n">
        <v>26</v>
      </c>
      <c r="AE1342" t="n">
        <v>33</v>
      </c>
      <c r="AF1342" t="n">
        <v>8</v>
      </c>
      <c r="AG1342" t="n">
        <v>12</v>
      </c>
      <c r="AH1342" t="n">
        <v>5</v>
      </c>
      <c r="AI1342" t="n">
        <v>5</v>
      </c>
      <c r="AJ1342" t="n">
        <v>15</v>
      </c>
      <c r="AK1342" t="n">
        <v>18</v>
      </c>
      <c r="AL1342" t="n">
        <v>5</v>
      </c>
      <c r="AM1342" t="n">
        <v>6</v>
      </c>
      <c r="AN1342" t="n">
        <v>0</v>
      </c>
      <c r="AO1342" t="n">
        <v>0</v>
      </c>
      <c r="AP1342" t="inlineStr">
        <is>
          <t>No</t>
        </is>
      </c>
      <c r="AQ1342" t="inlineStr">
        <is>
          <t>Yes</t>
        </is>
      </c>
      <c r="AR1342">
        <f>HYPERLINK("http://catalog.hathitrust.org/Record/001114554","HathiTrust Record")</f>
        <v/>
      </c>
      <c r="AS1342">
        <f>HYPERLINK("https://creighton-primo.hosted.exlibrisgroup.com/primo-explore/search?tab=default_tab&amp;search_scope=EVERYTHING&amp;vid=01CRU&amp;lang=en_US&amp;offset=0&amp;query=any,contains,991002768799702656","Catalog Record")</f>
        <v/>
      </c>
      <c r="AT1342">
        <f>HYPERLINK("http://www.worldcat.org/oclc/436032","WorldCat Record")</f>
        <v/>
      </c>
      <c r="AU1342" t="inlineStr">
        <is>
          <t>1554485:eng</t>
        </is>
      </c>
      <c r="AV1342" t="inlineStr">
        <is>
          <t>436032</t>
        </is>
      </c>
      <c r="AW1342" t="inlineStr">
        <is>
          <t>991002768799702656</t>
        </is>
      </c>
      <c r="AX1342" t="inlineStr">
        <is>
          <t>991002768799702656</t>
        </is>
      </c>
      <c r="AY1342" t="inlineStr">
        <is>
          <t>2268905100002656</t>
        </is>
      </c>
      <c r="AZ1342" t="inlineStr">
        <is>
          <t>BOOK</t>
        </is>
      </c>
      <c r="BC1342" t="inlineStr">
        <is>
          <t>32285002850740</t>
        </is>
      </c>
      <c r="BD1342" t="inlineStr">
        <is>
          <t>893774001</t>
        </is>
      </c>
    </row>
    <row r="1343">
      <c r="A1343" t="inlineStr">
        <is>
          <t>No</t>
        </is>
      </c>
      <c r="B1343" t="inlineStr">
        <is>
          <t>QD945 .W58</t>
        </is>
      </c>
      <c r="C1343" t="inlineStr">
        <is>
          <t>0                      QD 0945000W  58</t>
        </is>
      </c>
      <c r="D1343" t="inlineStr">
        <is>
          <t>An introduction to X-ray crystallography / [by] M. M. Woolfson.</t>
        </is>
      </c>
      <c r="F1343" t="inlineStr">
        <is>
          <t>No</t>
        </is>
      </c>
      <c r="G1343" t="inlineStr">
        <is>
          <t>1</t>
        </is>
      </c>
      <c r="H1343" t="inlineStr">
        <is>
          <t>No</t>
        </is>
      </c>
      <c r="I1343" t="inlineStr">
        <is>
          <t>Yes</t>
        </is>
      </c>
      <c r="J1343" t="inlineStr">
        <is>
          <t>0</t>
        </is>
      </c>
      <c r="K1343" t="inlineStr">
        <is>
          <t>Woolfson, Michael M. (Michael Mark)</t>
        </is>
      </c>
      <c r="L1343" t="inlineStr">
        <is>
          <t>Cambridge : Cambridge University Press, 1970.</t>
        </is>
      </c>
      <c r="M1343" t="inlineStr">
        <is>
          <t>1970</t>
        </is>
      </c>
      <c r="O1343" t="inlineStr">
        <is>
          <t>eng</t>
        </is>
      </c>
      <c r="P1343" t="inlineStr">
        <is>
          <t>enk</t>
        </is>
      </c>
      <c r="R1343" t="inlineStr">
        <is>
          <t xml:space="preserve">QD </t>
        </is>
      </c>
      <c r="S1343" t="n">
        <v>5</v>
      </c>
      <c r="T1343" t="n">
        <v>5</v>
      </c>
      <c r="U1343" t="inlineStr">
        <is>
          <t>2004-04-06</t>
        </is>
      </c>
      <c r="V1343" t="inlineStr">
        <is>
          <t>2004-04-06</t>
        </is>
      </c>
      <c r="W1343" t="inlineStr">
        <is>
          <t>1992-02-26</t>
        </is>
      </c>
      <c r="X1343" t="inlineStr">
        <is>
          <t>1992-02-26</t>
        </is>
      </c>
      <c r="Y1343" t="n">
        <v>566</v>
      </c>
      <c r="Z1343" t="n">
        <v>390</v>
      </c>
      <c r="AA1343" t="n">
        <v>507</v>
      </c>
      <c r="AB1343" t="n">
        <v>5</v>
      </c>
      <c r="AC1343" t="n">
        <v>5</v>
      </c>
      <c r="AD1343" t="n">
        <v>18</v>
      </c>
      <c r="AE1343" t="n">
        <v>23</v>
      </c>
      <c r="AF1343" t="n">
        <v>8</v>
      </c>
      <c r="AG1343" t="n">
        <v>8</v>
      </c>
      <c r="AH1343" t="n">
        <v>3</v>
      </c>
      <c r="AI1343" t="n">
        <v>3</v>
      </c>
      <c r="AJ1343" t="n">
        <v>8</v>
      </c>
      <c r="AK1343" t="n">
        <v>13</v>
      </c>
      <c r="AL1343" t="n">
        <v>4</v>
      </c>
      <c r="AM1343" t="n">
        <v>4</v>
      </c>
      <c r="AN1343" t="n">
        <v>0</v>
      </c>
      <c r="AO1343" t="n">
        <v>0</v>
      </c>
      <c r="AP1343" t="inlineStr">
        <is>
          <t>No</t>
        </is>
      </c>
      <c r="AQ1343" t="inlineStr">
        <is>
          <t>No</t>
        </is>
      </c>
      <c r="AS1343">
        <f>HYPERLINK("https://creighton-primo.hosted.exlibrisgroup.com/primo-explore/search?tab=default_tab&amp;search_scope=EVERYTHING&amp;vid=01CRU&amp;lang=en_US&amp;offset=0&amp;query=any,contains,991000208769702656","Catalog Record")</f>
        <v/>
      </c>
      <c r="AT1343">
        <f>HYPERLINK("http://www.worldcat.org/oclc/65959","WorldCat Record")</f>
        <v/>
      </c>
      <c r="AU1343" t="inlineStr">
        <is>
          <t>1231341:eng</t>
        </is>
      </c>
      <c r="AV1343" t="inlineStr">
        <is>
          <t>65959</t>
        </is>
      </c>
      <c r="AW1343" t="inlineStr">
        <is>
          <t>991000208769702656</t>
        </is>
      </c>
      <c r="AX1343" t="inlineStr">
        <is>
          <t>991000208769702656</t>
        </is>
      </c>
      <c r="AY1343" t="inlineStr">
        <is>
          <t>2259268550002656</t>
        </is>
      </c>
      <c r="AZ1343" t="inlineStr">
        <is>
          <t>BOOK</t>
        </is>
      </c>
      <c r="BB1343" t="inlineStr">
        <is>
          <t>9780521074407</t>
        </is>
      </c>
      <c r="BC1343" t="inlineStr">
        <is>
          <t>32285000975564</t>
        </is>
      </c>
      <c r="BD1343" t="inlineStr">
        <is>
          <t>893333303</t>
        </is>
      </c>
    </row>
    <row r="1344">
      <c r="A1344" t="inlineStr">
        <is>
          <t>No</t>
        </is>
      </c>
      <c r="B1344" t="inlineStr">
        <is>
          <t>QD945 .W63</t>
        </is>
      </c>
      <c r="C1344" t="inlineStr">
        <is>
          <t>0                      QD 0945000W  63</t>
        </is>
      </c>
      <c r="D1344" t="inlineStr">
        <is>
          <t>Diffraction methods [by] John Wormald.</t>
        </is>
      </c>
      <c r="F1344" t="inlineStr">
        <is>
          <t>No</t>
        </is>
      </c>
      <c r="G1344" t="inlineStr">
        <is>
          <t>1</t>
        </is>
      </c>
      <c r="H1344" t="inlineStr">
        <is>
          <t>No</t>
        </is>
      </c>
      <c r="I1344" t="inlineStr">
        <is>
          <t>No</t>
        </is>
      </c>
      <c r="J1344" t="inlineStr">
        <is>
          <t>0</t>
        </is>
      </c>
      <c r="K1344" t="inlineStr">
        <is>
          <t>Wormald, John Roger.</t>
        </is>
      </c>
      <c r="L1344" t="inlineStr">
        <is>
          <t>Oxford, Clarendon Press, 1973.</t>
        </is>
      </c>
      <c r="M1344" t="inlineStr">
        <is>
          <t>1973</t>
        </is>
      </c>
      <c r="O1344" t="inlineStr">
        <is>
          <t>eng</t>
        </is>
      </c>
      <c r="P1344" t="inlineStr">
        <is>
          <t>enk</t>
        </is>
      </c>
      <c r="Q1344" t="inlineStr">
        <is>
          <t>Oxford chemistry series, no. 10</t>
        </is>
      </c>
      <c r="R1344" t="inlineStr">
        <is>
          <t xml:space="preserve">QD </t>
        </is>
      </c>
      <c r="S1344" t="n">
        <v>6</v>
      </c>
      <c r="T1344" t="n">
        <v>6</v>
      </c>
      <c r="U1344" t="inlineStr">
        <is>
          <t>2007-01-08</t>
        </is>
      </c>
      <c r="V1344" t="inlineStr">
        <is>
          <t>2007-01-08</t>
        </is>
      </c>
      <c r="W1344" t="inlineStr">
        <is>
          <t>1997-06-20</t>
        </is>
      </c>
      <c r="X1344" t="inlineStr">
        <is>
          <t>1997-06-20</t>
        </is>
      </c>
      <c r="Y1344" t="n">
        <v>413</v>
      </c>
      <c r="Z1344" t="n">
        <v>281</v>
      </c>
      <c r="AA1344" t="n">
        <v>287</v>
      </c>
      <c r="AB1344" t="n">
        <v>4</v>
      </c>
      <c r="AC1344" t="n">
        <v>4</v>
      </c>
      <c r="AD1344" t="n">
        <v>13</v>
      </c>
      <c r="AE1344" t="n">
        <v>13</v>
      </c>
      <c r="AF1344" t="n">
        <v>5</v>
      </c>
      <c r="AG1344" t="n">
        <v>5</v>
      </c>
      <c r="AH1344" t="n">
        <v>1</v>
      </c>
      <c r="AI1344" t="n">
        <v>1</v>
      </c>
      <c r="AJ1344" t="n">
        <v>7</v>
      </c>
      <c r="AK1344" t="n">
        <v>7</v>
      </c>
      <c r="AL1344" t="n">
        <v>3</v>
      </c>
      <c r="AM1344" t="n">
        <v>3</v>
      </c>
      <c r="AN1344" t="n">
        <v>0</v>
      </c>
      <c r="AO1344" t="n">
        <v>0</v>
      </c>
      <c r="AP1344" t="inlineStr">
        <is>
          <t>No</t>
        </is>
      </c>
      <c r="AQ1344" t="inlineStr">
        <is>
          <t>Yes</t>
        </is>
      </c>
      <c r="AR1344">
        <f>HYPERLINK("http://catalog.hathitrust.org/Record/009915054","HathiTrust Record")</f>
        <v/>
      </c>
      <c r="AS1344">
        <f>HYPERLINK("https://creighton-primo.hosted.exlibrisgroup.com/primo-explore/search?tab=default_tab&amp;search_scope=EVERYTHING&amp;vid=01CRU&amp;lang=en_US&amp;offset=0&amp;query=any,contains,991003206819702656","Catalog Record")</f>
        <v/>
      </c>
      <c r="AT1344">
        <f>HYPERLINK("http://www.worldcat.org/oclc/731914","WorldCat Record")</f>
        <v/>
      </c>
      <c r="AU1344" t="inlineStr">
        <is>
          <t>341489085:eng</t>
        </is>
      </c>
      <c r="AV1344" t="inlineStr">
        <is>
          <t>731914</t>
        </is>
      </c>
      <c r="AW1344" t="inlineStr">
        <is>
          <t>991003206819702656</t>
        </is>
      </c>
      <c r="AX1344" t="inlineStr">
        <is>
          <t>991003206819702656</t>
        </is>
      </c>
      <c r="AY1344" t="inlineStr">
        <is>
          <t>2258553010002656</t>
        </is>
      </c>
      <c r="AZ1344" t="inlineStr">
        <is>
          <t>BOOK</t>
        </is>
      </c>
      <c r="BB1344" t="inlineStr">
        <is>
          <t>9780198554288</t>
        </is>
      </c>
      <c r="BC1344" t="inlineStr">
        <is>
          <t>32285002850773</t>
        </is>
      </c>
      <c r="BD1344" t="inlineStr">
        <is>
          <t>893530943</t>
        </is>
      </c>
    </row>
    <row r="1345">
      <c r="A1345" t="inlineStr">
        <is>
          <t>No</t>
        </is>
      </c>
      <c r="B1345" t="inlineStr">
        <is>
          <t>QD95 .B37</t>
        </is>
      </c>
      <c r="C1345" t="inlineStr">
        <is>
          <t>0                      QD 0095000B  37</t>
        </is>
      </c>
      <c r="D1345" t="inlineStr">
        <is>
          <t>The structure of molecules : an introduction to molecular spectroscopy / Gordon M. Barrow.</t>
        </is>
      </c>
      <c r="F1345" t="inlineStr">
        <is>
          <t>No</t>
        </is>
      </c>
      <c r="G1345" t="inlineStr">
        <is>
          <t>1</t>
        </is>
      </c>
      <c r="H1345" t="inlineStr">
        <is>
          <t>No</t>
        </is>
      </c>
      <c r="I1345" t="inlineStr">
        <is>
          <t>No</t>
        </is>
      </c>
      <c r="J1345" t="inlineStr">
        <is>
          <t>0</t>
        </is>
      </c>
      <c r="K1345" t="inlineStr">
        <is>
          <t>Barrow, Gordon M.</t>
        </is>
      </c>
      <c r="L1345" t="inlineStr">
        <is>
          <t>New York : W. A. Benjamin, 1963.</t>
        </is>
      </c>
      <c r="M1345" t="inlineStr">
        <is>
          <t>1963</t>
        </is>
      </c>
      <c r="O1345" t="inlineStr">
        <is>
          <t>eng</t>
        </is>
      </c>
      <c r="P1345" t="inlineStr">
        <is>
          <t>nyu</t>
        </is>
      </c>
      <c r="Q1345" t="inlineStr">
        <is>
          <t>General chemistry monograph series</t>
        </is>
      </c>
      <c r="R1345" t="inlineStr">
        <is>
          <t xml:space="preserve">QD </t>
        </is>
      </c>
      <c r="S1345" t="n">
        <v>3</v>
      </c>
      <c r="T1345" t="n">
        <v>3</v>
      </c>
      <c r="U1345" t="inlineStr">
        <is>
          <t>1997-11-23</t>
        </is>
      </c>
      <c r="V1345" t="inlineStr">
        <is>
          <t>1997-11-23</t>
        </is>
      </c>
      <c r="W1345" t="inlineStr">
        <is>
          <t>1992-04-22</t>
        </is>
      </c>
      <c r="X1345" t="inlineStr">
        <is>
          <t>1992-04-22</t>
        </is>
      </c>
      <c r="Y1345" t="n">
        <v>774</v>
      </c>
      <c r="Z1345" t="n">
        <v>662</v>
      </c>
      <c r="AA1345" t="n">
        <v>741</v>
      </c>
      <c r="AB1345" t="n">
        <v>4</v>
      </c>
      <c r="AC1345" t="n">
        <v>4</v>
      </c>
      <c r="AD1345" t="n">
        <v>21</v>
      </c>
      <c r="AE1345" t="n">
        <v>24</v>
      </c>
      <c r="AF1345" t="n">
        <v>7</v>
      </c>
      <c r="AG1345" t="n">
        <v>9</v>
      </c>
      <c r="AH1345" t="n">
        <v>5</v>
      </c>
      <c r="AI1345" t="n">
        <v>6</v>
      </c>
      <c r="AJ1345" t="n">
        <v>11</v>
      </c>
      <c r="AK1345" t="n">
        <v>13</v>
      </c>
      <c r="AL1345" t="n">
        <v>3</v>
      </c>
      <c r="AM1345" t="n">
        <v>3</v>
      </c>
      <c r="AN1345" t="n">
        <v>0</v>
      </c>
      <c r="AO1345" t="n">
        <v>0</v>
      </c>
      <c r="AP1345" t="inlineStr">
        <is>
          <t>No</t>
        </is>
      </c>
      <c r="AQ1345" t="inlineStr">
        <is>
          <t>No</t>
        </is>
      </c>
      <c r="AS1345">
        <f>HYPERLINK("https://creighton-primo.hosted.exlibrisgroup.com/primo-explore/search?tab=default_tab&amp;search_scope=EVERYTHING&amp;vid=01CRU&amp;lang=en_US&amp;offset=0&amp;query=any,contains,991002967399702656","Catalog Record")</f>
        <v/>
      </c>
      <c r="AT1345">
        <f>HYPERLINK("http://www.worldcat.org/oclc/546695","WorldCat Record")</f>
        <v/>
      </c>
      <c r="AU1345" t="inlineStr">
        <is>
          <t>835843578:eng</t>
        </is>
      </c>
      <c r="AV1345" t="inlineStr">
        <is>
          <t>546695</t>
        </is>
      </c>
      <c r="AW1345" t="inlineStr">
        <is>
          <t>991002967399702656</t>
        </is>
      </c>
      <c r="AX1345" t="inlineStr">
        <is>
          <t>991002967399702656</t>
        </is>
      </c>
      <c r="AY1345" t="inlineStr">
        <is>
          <t>2265037920002656</t>
        </is>
      </c>
      <c r="AZ1345" t="inlineStr">
        <is>
          <t>BOOK</t>
        </is>
      </c>
      <c r="BC1345" t="inlineStr">
        <is>
          <t>32285001063733</t>
        </is>
      </c>
      <c r="BD1345" t="inlineStr">
        <is>
          <t>893867937</t>
        </is>
      </c>
    </row>
    <row r="1346">
      <c r="A1346" t="inlineStr">
        <is>
          <t>No</t>
        </is>
      </c>
      <c r="B1346" t="inlineStr">
        <is>
          <t>QD95 .E29 1987</t>
        </is>
      </c>
      <c r="C1346" t="inlineStr">
        <is>
          <t>0                      QD 0095000E  29          1987</t>
        </is>
      </c>
      <c r="D1346" t="inlineStr">
        <is>
          <t>Structural methods in inorganic chemistry / E.A.V. Ebsworth, David W.H. Rankin, and Stephen Cradock.</t>
        </is>
      </c>
      <c r="F1346" t="inlineStr">
        <is>
          <t>No</t>
        </is>
      </c>
      <c r="G1346" t="inlineStr">
        <is>
          <t>1</t>
        </is>
      </c>
      <c r="H1346" t="inlineStr">
        <is>
          <t>No</t>
        </is>
      </c>
      <c r="I1346" t="inlineStr">
        <is>
          <t>No</t>
        </is>
      </c>
      <c r="J1346" t="inlineStr">
        <is>
          <t>0</t>
        </is>
      </c>
      <c r="K1346" t="inlineStr">
        <is>
          <t>Ebsworth, E. A. V.</t>
        </is>
      </c>
      <c r="L1346" t="inlineStr">
        <is>
          <t>Oxford [Oxfordshire] ; Boston : Blackwell Scientific Publications, 1987.</t>
        </is>
      </c>
      <c r="M1346" t="inlineStr">
        <is>
          <t>1987</t>
        </is>
      </c>
      <c r="O1346" t="inlineStr">
        <is>
          <t>eng</t>
        </is>
      </c>
      <c r="P1346" t="inlineStr">
        <is>
          <t>enk</t>
        </is>
      </c>
      <c r="R1346" t="inlineStr">
        <is>
          <t xml:space="preserve">QD </t>
        </is>
      </c>
      <c r="S1346" t="n">
        <v>2</v>
      </c>
      <c r="T1346" t="n">
        <v>2</v>
      </c>
      <c r="U1346" t="inlineStr">
        <is>
          <t>1995-11-15</t>
        </is>
      </c>
      <c r="V1346" t="inlineStr">
        <is>
          <t>1995-11-15</t>
        </is>
      </c>
      <c r="W1346" t="inlineStr">
        <is>
          <t>1995-12-21</t>
        </is>
      </c>
      <c r="X1346" t="inlineStr">
        <is>
          <t>1995-12-21</t>
        </is>
      </c>
      <c r="Y1346" t="n">
        <v>465</v>
      </c>
      <c r="Z1346" t="n">
        <v>302</v>
      </c>
      <c r="AA1346" t="n">
        <v>449</v>
      </c>
      <c r="AB1346" t="n">
        <v>4</v>
      </c>
      <c r="AC1346" t="n">
        <v>4</v>
      </c>
      <c r="AD1346" t="n">
        <v>18</v>
      </c>
      <c r="AE1346" t="n">
        <v>25</v>
      </c>
      <c r="AF1346" t="n">
        <v>5</v>
      </c>
      <c r="AG1346" t="n">
        <v>9</v>
      </c>
      <c r="AH1346" t="n">
        <v>6</v>
      </c>
      <c r="AI1346" t="n">
        <v>6</v>
      </c>
      <c r="AJ1346" t="n">
        <v>8</v>
      </c>
      <c r="AK1346" t="n">
        <v>14</v>
      </c>
      <c r="AL1346" t="n">
        <v>3</v>
      </c>
      <c r="AM1346" t="n">
        <v>3</v>
      </c>
      <c r="AN1346" t="n">
        <v>0</v>
      </c>
      <c r="AO1346" t="n">
        <v>0</v>
      </c>
      <c r="AP1346" t="inlineStr">
        <is>
          <t>No</t>
        </is>
      </c>
      <c r="AQ1346" t="inlineStr">
        <is>
          <t>No</t>
        </is>
      </c>
      <c r="AS1346">
        <f>HYPERLINK("https://creighton-primo.hosted.exlibrisgroup.com/primo-explore/search?tab=default_tab&amp;search_scope=EVERYTHING&amp;vid=01CRU&amp;lang=en_US&amp;offset=0&amp;query=any,contains,991000923589702656","Catalog Record")</f>
        <v/>
      </c>
      <c r="AT1346">
        <f>HYPERLINK("http://www.worldcat.org/oclc/14215117","WorldCat Record")</f>
        <v/>
      </c>
      <c r="AU1346" t="inlineStr">
        <is>
          <t>8263147:eng</t>
        </is>
      </c>
      <c r="AV1346" t="inlineStr">
        <is>
          <t>14215117</t>
        </is>
      </c>
      <c r="AW1346" t="inlineStr">
        <is>
          <t>991000923589702656</t>
        </is>
      </c>
      <c r="AX1346" t="inlineStr">
        <is>
          <t>991000923589702656</t>
        </is>
      </c>
      <c r="AY1346" t="inlineStr">
        <is>
          <t>2267223130002656</t>
        </is>
      </c>
      <c r="AZ1346" t="inlineStr">
        <is>
          <t>BOOK</t>
        </is>
      </c>
      <c r="BB1346" t="inlineStr">
        <is>
          <t>9780632015924</t>
        </is>
      </c>
      <c r="BC1346" t="inlineStr">
        <is>
          <t>32285002120433</t>
        </is>
      </c>
      <c r="BD1346" t="inlineStr">
        <is>
          <t>893340009</t>
        </is>
      </c>
    </row>
    <row r="1347">
      <c r="A1347" t="inlineStr">
        <is>
          <t>No</t>
        </is>
      </c>
      <c r="B1347" t="inlineStr">
        <is>
          <t>QD95 .I486 1999</t>
        </is>
      </c>
      <c r="C1347" t="inlineStr">
        <is>
          <t>0                      QD 0095000I  486         1999</t>
        </is>
      </c>
      <c r="D1347" t="inlineStr">
        <is>
          <t>Inorganic electronic structure and spectroscopy / edited by Edward I. Solomon, A.B.P. Lever.</t>
        </is>
      </c>
      <c r="E1347" t="inlineStr">
        <is>
          <t>V.1</t>
        </is>
      </c>
      <c r="F1347" t="inlineStr">
        <is>
          <t>Yes</t>
        </is>
      </c>
      <c r="G1347" t="inlineStr">
        <is>
          <t>1</t>
        </is>
      </c>
      <c r="H1347" t="inlineStr">
        <is>
          <t>No</t>
        </is>
      </c>
      <c r="I1347" t="inlineStr">
        <is>
          <t>No</t>
        </is>
      </c>
      <c r="J1347" t="inlineStr">
        <is>
          <t>0</t>
        </is>
      </c>
      <c r="L1347" t="inlineStr">
        <is>
          <t>New York : Wiley, c1999.</t>
        </is>
      </c>
      <c r="M1347" t="inlineStr">
        <is>
          <t>1999</t>
        </is>
      </c>
      <c r="O1347" t="inlineStr">
        <is>
          <t>eng</t>
        </is>
      </c>
      <c r="P1347" t="inlineStr">
        <is>
          <t>nyu</t>
        </is>
      </c>
      <c r="R1347" t="inlineStr">
        <is>
          <t xml:space="preserve">QD </t>
        </is>
      </c>
      <c r="S1347" t="n">
        <v>2</v>
      </c>
      <c r="T1347" t="n">
        <v>4</v>
      </c>
      <c r="U1347" t="inlineStr">
        <is>
          <t>2009-04-27</t>
        </is>
      </c>
      <c r="V1347" t="inlineStr">
        <is>
          <t>2009-04-27</t>
        </is>
      </c>
      <c r="W1347" t="inlineStr">
        <is>
          <t>2001-01-08</t>
        </is>
      </c>
      <c r="X1347" t="inlineStr">
        <is>
          <t>2001-01-08</t>
        </is>
      </c>
      <c r="Y1347" t="n">
        <v>397</v>
      </c>
      <c r="Z1347" t="n">
        <v>322</v>
      </c>
      <c r="AA1347" t="n">
        <v>365</v>
      </c>
      <c r="AB1347" t="n">
        <v>1</v>
      </c>
      <c r="AC1347" t="n">
        <v>1</v>
      </c>
      <c r="AD1347" t="n">
        <v>24</v>
      </c>
      <c r="AE1347" t="n">
        <v>26</v>
      </c>
      <c r="AF1347" t="n">
        <v>10</v>
      </c>
      <c r="AG1347" t="n">
        <v>12</v>
      </c>
      <c r="AH1347" t="n">
        <v>7</v>
      </c>
      <c r="AI1347" t="n">
        <v>7</v>
      </c>
      <c r="AJ1347" t="n">
        <v>14</v>
      </c>
      <c r="AK1347" t="n">
        <v>15</v>
      </c>
      <c r="AL1347" t="n">
        <v>0</v>
      </c>
      <c r="AM1347" t="n">
        <v>0</v>
      </c>
      <c r="AN1347" t="n">
        <v>0</v>
      </c>
      <c r="AO1347" t="n">
        <v>0</v>
      </c>
      <c r="AP1347" t="inlineStr">
        <is>
          <t>No</t>
        </is>
      </c>
      <c r="AQ1347" t="inlineStr">
        <is>
          <t>Yes</t>
        </is>
      </c>
      <c r="AR1347">
        <f>HYPERLINK("http://catalog.hathitrust.org/Record/004050129","HathiTrust Record")</f>
        <v/>
      </c>
      <c r="AS1347">
        <f>HYPERLINK("https://creighton-primo.hosted.exlibrisgroup.com/primo-explore/search?tab=default_tab&amp;search_scope=EVERYTHING&amp;vid=01CRU&amp;lang=en_US&amp;offset=0&amp;query=any,contains,991003334709702656","Catalog Record")</f>
        <v/>
      </c>
      <c r="AT1347">
        <f>HYPERLINK("http://www.worldcat.org/oclc/39606857","WorldCat Record")</f>
        <v/>
      </c>
      <c r="AU1347" t="inlineStr">
        <is>
          <t>350358820:eng</t>
        </is>
      </c>
      <c r="AV1347" t="inlineStr">
        <is>
          <t>39606857</t>
        </is>
      </c>
      <c r="AW1347" t="inlineStr">
        <is>
          <t>991003334709702656</t>
        </is>
      </c>
      <c r="AX1347" t="inlineStr">
        <is>
          <t>991003334709702656</t>
        </is>
      </c>
      <c r="AY1347" t="inlineStr">
        <is>
          <t>2260031190002656</t>
        </is>
      </c>
      <c r="AZ1347" t="inlineStr">
        <is>
          <t>BOOK</t>
        </is>
      </c>
      <c r="BB1347" t="inlineStr">
        <is>
          <t>9780471154068</t>
        </is>
      </c>
      <c r="BC1347" t="inlineStr">
        <is>
          <t>32285004280425</t>
        </is>
      </c>
      <c r="BD1347" t="inlineStr">
        <is>
          <t>893698920</t>
        </is>
      </c>
    </row>
    <row r="1348">
      <c r="A1348" t="inlineStr">
        <is>
          <t>No</t>
        </is>
      </c>
      <c r="B1348" t="inlineStr">
        <is>
          <t>QD95 .I486 1999</t>
        </is>
      </c>
      <c r="C1348" t="inlineStr">
        <is>
          <t>0                      QD 0095000I  486         1999</t>
        </is>
      </c>
      <c r="D1348" t="inlineStr">
        <is>
          <t>Inorganic electronic structure and spectroscopy / edited by Edward I. Solomon, A.B.P. Lever.</t>
        </is>
      </c>
      <c r="E1348" t="inlineStr">
        <is>
          <t>V.2</t>
        </is>
      </c>
      <c r="F1348" t="inlineStr">
        <is>
          <t>Yes</t>
        </is>
      </c>
      <c r="G1348" t="inlineStr">
        <is>
          <t>1</t>
        </is>
      </c>
      <c r="H1348" t="inlineStr">
        <is>
          <t>No</t>
        </is>
      </c>
      <c r="I1348" t="inlineStr">
        <is>
          <t>No</t>
        </is>
      </c>
      <c r="J1348" t="inlineStr">
        <is>
          <t>0</t>
        </is>
      </c>
      <c r="L1348" t="inlineStr">
        <is>
          <t>New York : Wiley, c1999.</t>
        </is>
      </c>
      <c r="M1348" t="inlineStr">
        <is>
          <t>1999</t>
        </is>
      </c>
      <c r="O1348" t="inlineStr">
        <is>
          <t>eng</t>
        </is>
      </c>
      <c r="P1348" t="inlineStr">
        <is>
          <t>nyu</t>
        </is>
      </c>
      <c r="R1348" t="inlineStr">
        <is>
          <t xml:space="preserve">QD </t>
        </is>
      </c>
      <c r="S1348" t="n">
        <v>2</v>
      </c>
      <c r="T1348" t="n">
        <v>4</v>
      </c>
      <c r="U1348" t="inlineStr">
        <is>
          <t>2009-04-27</t>
        </is>
      </c>
      <c r="V1348" t="inlineStr">
        <is>
          <t>2009-04-27</t>
        </is>
      </c>
      <c r="W1348" t="inlineStr">
        <is>
          <t>2001-01-08</t>
        </is>
      </c>
      <c r="X1348" t="inlineStr">
        <is>
          <t>2001-01-08</t>
        </is>
      </c>
      <c r="Y1348" t="n">
        <v>397</v>
      </c>
      <c r="Z1348" t="n">
        <v>322</v>
      </c>
      <c r="AA1348" t="n">
        <v>365</v>
      </c>
      <c r="AB1348" t="n">
        <v>1</v>
      </c>
      <c r="AC1348" t="n">
        <v>1</v>
      </c>
      <c r="AD1348" t="n">
        <v>24</v>
      </c>
      <c r="AE1348" t="n">
        <v>26</v>
      </c>
      <c r="AF1348" t="n">
        <v>10</v>
      </c>
      <c r="AG1348" t="n">
        <v>12</v>
      </c>
      <c r="AH1348" t="n">
        <v>7</v>
      </c>
      <c r="AI1348" t="n">
        <v>7</v>
      </c>
      <c r="AJ1348" t="n">
        <v>14</v>
      </c>
      <c r="AK1348" t="n">
        <v>15</v>
      </c>
      <c r="AL1348" t="n">
        <v>0</v>
      </c>
      <c r="AM1348" t="n">
        <v>0</v>
      </c>
      <c r="AN1348" t="n">
        <v>0</v>
      </c>
      <c r="AO1348" t="n">
        <v>0</v>
      </c>
      <c r="AP1348" t="inlineStr">
        <is>
          <t>No</t>
        </is>
      </c>
      <c r="AQ1348" t="inlineStr">
        <is>
          <t>Yes</t>
        </is>
      </c>
      <c r="AR1348">
        <f>HYPERLINK("http://catalog.hathitrust.org/Record/004050129","HathiTrust Record")</f>
        <v/>
      </c>
      <c r="AS1348">
        <f>HYPERLINK("https://creighton-primo.hosted.exlibrisgroup.com/primo-explore/search?tab=default_tab&amp;search_scope=EVERYTHING&amp;vid=01CRU&amp;lang=en_US&amp;offset=0&amp;query=any,contains,991003334709702656","Catalog Record")</f>
        <v/>
      </c>
      <c r="AT1348">
        <f>HYPERLINK("http://www.worldcat.org/oclc/39606857","WorldCat Record")</f>
        <v/>
      </c>
      <c r="AU1348" t="inlineStr">
        <is>
          <t>350358820:eng</t>
        </is>
      </c>
      <c r="AV1348" t="inlineStr">
        <is>
          <t>39606857</t>
        </is>
      </c>
      <c r="AW1348" t="inlineStr">
        <is>
          <t>991003334709702656</t>
        </is>
      </c>
      <c r="AX1348" t="inlineStr">
        <is>
          <t>991003334709702656</t>
        </is>
      </c>
      <c r="AY1348" t="inlineStr">
        <is>
          <t>2260031190002656</t>
        </is>
      </c>
      <c r="AZ1348" t="inlineStr">
        <is>
          <t>BOOK</t>
        </is>
      </c>
      <c r="BB1348" t="inlineStr">
        <is>
          <t>9780471154068</t>
        </is>
      </c>
      <c r="BC1348" t="inlineStr">
        <is>
          <t>32285004280417</t>
        </is>
      </c>
      <c r="BD1348" t="inlineStr">
        <is>
          <t>893686452</t>
        </is>
      </c>
    </row>
    <row r="1349">
      <c r="A1349" t="inlineStr">
        <is>
          <t>No</t>
        </is>
      </c>
      <c r="B1349" t="inlineStr">
        <is>
          <t>QD95 .J24</t>
        </is>
      </c>
      <c r="C1349" t="inlineStr">
        <is>
          <t>0                      QD 0095000J  24</t>
        </is>
      </c>
      <c r="D1349" t="inlineStr">
        <is>
          <t>Theory and applications of ultraviolet spectroscopy / [by] H. H. Jaffé and Milton Orchin.</t>
        </is>
      </c>
      <c r="F1349" t="inlineStr">
        <is>
          <t>No</t>
        </is>
      </c>
      <c r="G1349" t="inlineStr">
        <is>
          <t>1</t>
        </is>
      </c>
      <c r="H1349" t="inlineStr">
        <is>
          <t>No</t>
        </is>
      </c>
      <c r="I1349" t="inlineStr">
        <is>
          <t>No</t>
        </is>
      </c>
      <c r="J1349" t="inlineStr">
        <is>
          <t>0</t>
        </is>
      </c>
      <c r="K1349" t="inlineStr">
        <is>
          <t>Jaffé, Hans H.</t>
        </is>
      </c>
      <c r="L1349" t="inlineStr">
        <is>
          <t>New York : Wiley, [1962]</t>
        </is>
      </c>
      <c r="M1349" t="inlineStr">
        <is>
          <t>1962</t>
        </is>
      </c>
      <c r="O1349" t="inlineStr">
        <is>
          <t>eng</t>
        </is>
      </c>
      <c r="P1349" t="inlineStr">
        <is>
          <t>nyu</t>
        </is>
      </c>
      <c r="R1349" t="inlineStr">
        <is>
          <t xml:space="preserve">QD </t>
        </is>
      </c>
      <c r="S1349" t="n">
        <v>5</v>
      </c>
      <c r="T1349" t="n">
        <v>5</v>
      </c>
      <c r="U1349" t="inlineStr">
        <is>
          <t>1997-11-04</t>
        </is>
      </c>
      <c r="V1349" t="inlineStr">
        <is>
          <t>1997-11-04</t>
        </is>
      </c>
      <c r="W1349" t="inlineStr">
        <is>
          <t>1991-01-15</t>
        </is>
      </c>
      <c r="X1349" t="inlineStr">
        <is>
          <t>1991-01-15</t>
        </is>
      </c>
      <c r="Y1349" t="n">
        <v>910</v>
      </c>
      <c r="Z1349" t="n">
        <v>723</v>
      </c>
      <c r="AA1349" t="n">
        <v>729</v>
      </c>
      <c r="AB1349" t="n">
        <v>7</v>
      </c>
      <c r="AC1349" t="n">
        <v>7</v>
      </c>
      <c r="AD1349" t="n">
        <v>30</v>
      </c>
      <c r="AE1349" t="n">
        <v>30</v>
      </c>
      <c r="AF1349" t="n">
        <v>11</v>
      </c>
      <c r="AG1349" t="n">
        <v>11</v>
      </c>
      <c r="AH1349" t="n">
        <v>4</v>
      </c>
      <c r="AI1349" t="n">
        <v>4</v>
      </c>
      <c r="AJ1349" t="n">
        <v>14</v>
      </c>
      <c r="AK1349" t="n">
        <v>14</v>
      </c>
      <c r="AL1349" t="n">
        <v>6</v>
      </c>
      <c r="AM1349" t="n">
        <v>6</v>
      </c>
      <c r="AN1349" t="n">
        <v>0</v>
      </c>
      <c r="AO1349" t="n">
        <v>0</v>
      </c>
      <c r="AP1349" t="inlineStr">
        <is>
          <t>No</t>
        </is>
      </c>
      <c r="AQ1349" t="inlineStr">
        <is>
          <t>Yes</t>
        </is>
      </c>
      <c r="AR1349">
        <f>HYPERLINK("http://catalog.hathitrust.org/Record/001487219","HathiTrust Record")</f>
        <v/>
      </c>
      <c r="AS1349">
        <f>HYPERLINK("https://creighton-primo.hosted.exlibrisgroup.com/primo-explore/search?tab=default_tab&amp;search_scope=EVERYTHING&amp;vid=01CRU&amp;lang=en_US&amp;offset=0&amp;query=any,contains,991002956079702656","Catalog Record")</f>
        <v/>
      </c>
      <c r="AT1349">
        <f>HYPERLINK("http://www.worldcat.org/oclc/542150","WorldCat Record")</f>
        <v/>
      </c>
      <c r="AU1349" t="inlineStr">
        <is>
          <t>1571038:eng</t>
        </is>
      </c>
      <c r="AV1349" t="inlineStr">
        <is>
          <t>542150</t>
        </is>
      </c>
      <c r="AW1349" t="inlineStr">
        <is>
          <t>991002956079702656</t>
        </is>
      </c>
      <c r="AX1349" t="inlineStr">
        <is>
          <t>991002956079702656</t>
        </is>
      </c>
      <c r="AY1349" t="inlineStr">
        <is>
          <t>2266864060002656</t>
        </is>
      </c>
      <c r="AZ1349" t="inlineStr">
        <is>
          <t>BOOK</t>
        </is>
      </c>
      <c r="BC1349" t="inlineStr">
        <is>
          <t>32285000428408</t>
        </is>
      </c>
      <c r="BD1349" t="inlineStr">
        <is>
          <t>893622951</t>
        </is>
      </c>
    </row>
    <row r="1350">
      <c r="A1350" t="inlineStr">
        <is>
          <t>No</t>
        </is>
      </c>
      <c r="B1350" t="inlineStr">
        <is>
          <t>QD95 .M9713</t>
        </is>
      </c>
      <c r="C1350" t="inlineStr">
        <is>
          <t>0                      QD 0095000M  9713</t>
        </is>
      </c>
      <c r="D1350" t="inlineStr">
        <is>
          <t>Spectrochemical analysis by X-ray fluorescence [by] Rudolf O. Müller. Translated from German by Klaus Keil.</t>
        </is>
      </c>
      <c r="F1350" t="inlineStr">
        <is>
          <t>No</t>
        </is>
      </c>
      <c r="G1350" t="inlineStr">
        <is>
          <t>1</t>
        </is>
      </c>
      <c r="H1350" t="inlineStr">
        <is>
          <t>No</t>
        </is>
      </c>
      <c r="I1350" t="inlineStr">
        <is>
          <t>No</t>
        </is>
      </c>
      <c r="J1350" t="inlineStr">
        <is>
          <t>0</t>
        </is>
      </c>
      <c r="K1350" t="inlineStr">
        <is>
          <t>Müller, Rudolf O.</t>
        </is>
      </c>
      <c r="L1350" t="inlineStr">
        <is>
          <t>New York, Plenum Press, 1972.</t>
        </is>
      </c>
      <c r="M1350" t="inlineStr">
        <is>
          <t>1972</t>
        </is>
      </c>
      <c r="O1350" t="inlineStr">
        <is>
          <t>eng</t>
        </is>
      </c>
      <c r="P1350" t="inlineStr">
        <is>
          <t>nyu</t>
        </is>
      </c>
      <c r="R1350" t="inlineStr">
        <is>
          <t xml:space="preserve">QD </t>
        </is>
      </c>
      <c r="S1350" t="n">
        <v>2</v>
      </c>
      <c r="T1350" t="n">
        <v>2</v>
      </c>
      <c r="U1350" t="inlineStr">
        <is>
          <t>1998-04-07</t>
        </is>
      </c>
      <c r="V1350" t="inlineStr">
        <is>
          <t>1998-04-07</t>
        </is>
      </c>
      <c r="W1350" t="inlineStr">
        <is>
          <t>1997-05-29</t>
        </is>
      </c>
      <c r="X1350" t="inlineStr">
        <is>
          <t>1997-05-29</t>
        </is>
      </c>
      <c r="Y1350" t="n">
        <v>308</v>
      </c>
      <c r="Z1350" t="n">
        <v>254</v>
      </c>
      <c r="AA1350" t="n">
        <v>273</v>
      </c>
      <c r="AB1350" t="n">
        <v>4</v>
      </c>
      <c r="AC1350" t="n">
        <v>4</v>
      </c>
      <c r="AD1350" t="n">
        <v>11</v>
      </c>
      <c r="AE1350" t="n">
        <v>11</v>
      </c>
      <c r="AF1350" t="n">
        <v>3</v>
      </c>
      <c r="AG1350" t="n">
        <v>3</v>
      </c>
      <c r="AH1350" t="n">
        <v>3</v>
      </c>
      <c r="AI1350" t="n">
        <v>3</v>
      </c>
      <c r="AJ1350" t="n">
        <v>4</v>
      </c>
      <c r="AK1350" t="n">
        <v>4</v>
      </c>
      <c r="AL1350" t="n">
        <v>3</v>
      </c>
      <c r="AM1350" t="n">
        <v>3</v>
      </c>
      <c r="AN1350" t="n">
        <v>0</v>
      </c>
      <c r="AO1350" t="n">
        <v>0</v>
      </c>
      <c r="AP1350" t="inlineStr">
        <is>
          <t>No</t>
        </is>
      </c>
      <c r="AQ1350" t="inlineStr">
        <is>
          <t>Yes</t>
        </is>
      </c>
      <c r="AR1350">
        <f>HYPERLINK("http://catalog.hathitrust.org/Record/001487242","HathiTrust Record")</f>
        <v/>
      </c>
      <c r="AS1350">
        <f>HYPERLINK("https://creighton-primo.hosted.exlibrisgroup.com/primo-explore/search?tab=default_tab&amp;search_scope=EVERYTHING&amp;vid=01CRU&amp;lang=en_US&amp;offset=0&amp;query=any,contains,991002382889702656","Catalog Record")</f>
        <v/>
      </c>
      <c r="AT1350">
        <f>HYPERLINK("http://www.worldcat.org/oclc/328786","WorldCat Record")</f>
        <v/>
      </c>
      <c r="AU1350" t="inlineStr">
        <is>
          <t>372971043:eng</t>
        </is>
      </c>
      <c r="AV1350" t="inlineStr">
        <is>
          <t>328786</t>
        </is>
      </c>
      <c r="AW1350" t="inlineStr">
        <is>
          <t>991002382889702656</t>
        </is>
      </c>
      <c r="AX1350" t="inlineStr">
        <is>
          <t>991002382889702656</t>
        </is>
      </c>
      <c r="AY1350" t="inlineStr">
        <is>
          <t>2271499030002656</t>
        </is>
      </c>
      <c r="AZ1350" t="inlineStr">
        <is>
          <t>BOOK</t>
        </is>
      </c>
      <c r="BB1350" t="inlineStr">
        <is>
          <t>9780306304361</t>
        </is>
      </c>
      <c r="BC1350" t="inlineStr">
        <is>
          <t>32285002778347</t>
        </is>
      </c>
      <c r="BD1350" t="inlineStr">
        <is>
          <t>893809455</t>
        </is>
      </c>
    </row>
    <row r="1351">
      <c r="A1351" t="inlineStr">
        <is>
          <t>No</t>
        </is>
      </c>
      <c r="B1351" t="inlineStr">
        <is>
          <t>QD95 .P25 1990</t>
        </is>
      </c>
      <c r="C1351" t="inlineStr">
        <is>
          <t>0                      QD 0095000P  25          1990</t>
        </is>
      </c>
      <c r="D1351" t="inlineStr">
        <is>
          <t>NMR, NQR, EPR, and Mössbauer spectroscopy in inorganic chemistry / R.V. Parish.</t>
        </is>
      </c>
      <c r="F1351" t="inlineStr">
        <is>
          <t>No</t>
        </is>
      </c>
      <c r="G1351" t="inlineStr">
        <is>
          <t>1</t>
        </is>
      </c>
      <c r="H1351" t="inlineStr">
        <is>
          <t>No</t>
        </is>
      </c>
      <c r="I1351" t="inlineStr">
        <is>
          <t>No</t>
        </is>
      </c>
      <c r="J1351" t="inlineStr">
        <is>
          <t>0</t>
        </is>
      </c>
      <c r="K1351" t="inlineStr">
        <is>
          <t>Parish, R. V. (Richard Vernon), 1934-</t>
        </is>
      </c>
      <c r="L1351" t="inlineStr">
        <is>
          <t>New York : E. Horwood, 1990.</t>
        </is>
      </c>
      <c r="M1351" t="inlineStr">
        <is>
          <t>1990</t>
        </is>
      </c>
      <c r="O1351" t="inlineStr">
        <is>
          <t>eng</t>
        </is>
      </c>
      <c r="P1351" t="inlineStr">
        <is>
          <t>nyu</t>
        </is>
      </c>
      <c r="Q1351" t="inlineStr">
        <is>
          <t>Ellis Horwood series in inorganic chemistry</t>
        </is>
      </c>
      <c r="R1351" t="inlineStr">
        <is>
          <t xml:space="preserve">QD </t>
        </is>
      </c>
      <c r="S1351" t="n">
        <v>4</v>
      </c>
      <c r="T1351" t="n">
        <v>4</v>
      </c>
      <c r="U1351" t="inlineStr">
        <is>
          <t>2007-07-31</t>
        </is>
      </c>
      <c r="V1351" t="inlineStr">
        <is>
          <t>2007-07-31</t>
        </is>
      </c>
      <c r="W1351" t="inlineStr">
        <is>
          <t>1992-02-10</t>
        </is>
      </c>
      <c r="X1351" t="inlineStr">
        <is>
          <t>1992-02-10</t>
        </is>
      </c>
      <c r="Y1351" t="n">
        <v>434</v>
      </c>
      <c r="Z1351" t="n">
        <v>332</v>
      </c>
      <c r="AA1351" t="n">
        <v>333</v>
      </c>
      <c r="AB1351" t="n">
        <v>5</v>
      </c>
      <c r="AC1351" t="n">
        <v>5</v>
      </c>
      <c r="AD1351" t="n">
        <v>25</v>
      </c>
      <c r="AE1351" t="n">
        <v>25</v>
      </c>
      <c r="AF1351" t="n">
        <v>11</v>
      </c>
      <c r="AG1351" t="n">
        <v>11</v>
      </c>
      <c r="AH1351" t="n">
        <v>5</v>
      </c>
      <c r="AI1351" t="n">
        <v>5</v>
      </c>
      <c r="AJ1351" t="n">
        <v>10</v>
      </c>
      <c r="AK1351" t="n">
        <v>10</v>
      </c>
      <c r="AL1351" t="n">
        <v>4</v>
      </c>
      <c r="AM1351" t="n">
        <v>4</v>
      </c>
      <c r="AN1351" t="n">
        <v>0</v>
      </c>
      <c r="AO1351" t="n">
        <v>0</v>
      </c>
      <c r="AP1351" t="inlineStr">
        <is>
          <t>No</t>
        </is>
      </c>
      <c r="AQ1351" t="inlineStr">
        <is>
          <t>Yes</t>
        </is>
      </c>
      <c r="AR1351">
        <f>HYPERLINK("http://catalog.hathitrust.org/Record/002460956","HathiTrust Record")</f>
        <v/>
      </c>
      <c r="AS1351">
        <f>HYPERLINK("https://creighton-primo.hosted.exlibrisgroup.com/primo-explore/search?tab=default_tab&amp;search_scope=EVERYTHING&amp;vid=01CRU&amp;lang=en_US&amp;offset=0&amp;query=any,contains,991001725559702656","Catalog Record")</f>
        <v/>
      </c>
      <c r="AT1351">
        <f>HYPERLINK("http://www.worldcat.org/oclc/21875991","WorldCat Record")</f>
        <v/>
      </c>
      <c r="AU1351" t="inlineStr">
        <is>
          <t>23282751:eng</t>
        </is>
      </c>
      <c r="AV1351" t="inlineStr">
        <is>
          <t>21875991</t>
        </is>
      </c>
      <c r="AW1351" t="inlineStr">
        <is>
          <t>991001725559702656</t>
        </is>
      </c>
      <c r="AX1351" t="inlineStr">
        <is>
          <t>991001725559702656</t>
        </is>
      </c>
      <c r="AY1351" t="inlineStr">
        <is>
          <t>2267522900002656</t>
        </is>
      </c>
      <c r="AZ1351" t="inlineStr">
        <is>
          <t>BOOK</t>
        </is>
      </c>
      <c r="BB1351" t="inlineStr">
        <is>
          <t>9780136255185</t>
        </is>
      </c>
      <c r="BC1351" t="inlineStr">
        <is>
          <t>32285000868728</t>
        </is>
      </c>
      <c r="BD1351" t="inlineStr">
        <is>
          <t>893590584</t>
        </is>
      </c>
    </row>
    <row r="1352">
      <c r="A1352" t="inlineStr">
        <is>
          <t>No</t>
        </is>
      </c>
      <c r="B1352" t="inlineStr">
        <is>
          <t>QD95 .S293</t>
        </is>
      </c>
      <c r="C1352" t="inlineStr">
        <is>
          <t>0                      QD 0095000S  293</t>
        </is>
      </c>
      <c r="D1352" t="inlineStr">
        <is>
          <t>Electronic spectra and quantum chemistry.</t>
        </is>
      </c>
      <c r="F1352" t="inlineStr">
        <is>
          <t>No</t>
        </is>
      </c>
      <c r="G1352" t="inlineStr">
        <is>
          <t>1</t>
        </is>
      </c>
      <c r="H1352" t="inlineStr">
        <is>
          <t>No</t>
        </is>
      </c>
      <c r="I1352" t="inlineStr">
        <is>
          <t>No</t>
        </is>
      </c>
      <c r="J1352" t="inlineStr">
        <is>
          <t>0</t>
        </is>
      </c>
      <c r="K1352" t="inlineStr">
        <is>
          <t>Sandorfy, Camille.</t>
        </is>
      </c>
      <c r="L1352" t="inlineStr">
        <is>
          <t>Englewood Cliffs, N.J., Prentice-Hall [1964]</t>
        </is>
      </c>
      <c r="M1352" t="inlineStr">
        <is>
          <t>1964</t>
        </is>
      </c>
      <c r="O1352" t="inlineStr">
        <is>
          <t>eng</t>
        </is>
      </c>
      <c r="P1352" t="inlineStr">
        <is>
          <t>nju</t>
        </is>
      </c>
      <c r="Q1352" t="inlineStr">
        <is>
          <t>Prentice-Hall chemistry series</t>
        </is>
      </c>
      <c r="R1352" t="inlineStr">
        <is>
          <t xml:space="preserve">QD </t>
        </is>
      </c>
      <c r="S1352" t="n">
        <v>2</v>
      </c>
      <c r="T1352" t="n">
        <v>2</v>
      </c>
      <c r="U1352" t="inlineStr">
        <is>
          <t>1999-06-25</t>
        </is>
      </c>
      <c r="V1352" t="inlineStr">
        <is>
          <t>1999-06-25</t>
        </is>
      </c>
      <c r="W1352" t="inlineStr">
        <is>
          <t>1997-05-29</t>
        </is>
      </c>
      <c r="X1352" t="inlineStr">
        <is>
          <t>1997-05-29</t>
        </is>
      </c>
      <c r="Y1352" t="n">
        <v>456</v>
      </c>
      <c r="Z1352" t="n">
        <v>353</v>
      </c>
      <c r="AA1352" t="n">
        <v>361</v>
      </c>
      <c r="AB1352" t="n">
        <v>2</v>
      </c>
      <c r="AC1352" t="n">
        <v>2</v>
      </c>
      <c r="AD1352" t="n">
        <v>15</v>
      </c>
      <c r="AE1352" t="n">
        <v>15</v>
      </c>
      <c r="AF1352" t="n">
        <v>6</v>
      </c>
      <c r="AG1352" t="n">
        <v>6</v>
      </c>
      <c r="AH1352" t="n">
        <v>3</v>
      </c>
      <c r="AI1352" t="n">
        <v>3</v>
      </c>
      <c r="AJ1352" t="n">
        <v>10</v>
      </c>
      <c r="AK1352" t="n">
        <v>10</v>
      </c>
      <c r="AL1352" t="n">
        <v>1</v>
      </c>
      <c r="AM1352" t="n">
        <v>1</v>
      </c>
      <c r="AN1352" t="n">
        <v>0</v>
      </c>
      <c r="AO1352" t="n">
        <v>0</v>
      </c>
      <c r="AP1352" t="inlineStr">
        <is>
          <t>No</t>
        </is>
      </c>
      <c r="AQ1352" t="inlineStr">
        <is>
          <t>Yes</t>
        </is>
      </c>
      <c r="AR1352">
        <f>HYPERLINK("http://catalog.hathitrust.org/Record/001995868","HathiTrust Record")</f>
        <v/>
      </c>
      <c r="AS1352">
        <f>HYPERLINK("https://creighton-primo.hosted.exlibrisgroup.com/primo-explore/search?tab=default_tab&amp;search_scope=EVERYTHING&amp;vid=01CRU&amp;lang=en_US&amp;offset=0&amp;query=any,contains,991002982999702656","Catalog Record")</f>
        <v/>
      </c>
      <c r="AT1352">
        <f>HYPERLINK("http://www.worldcat.org/oclc/556018","WorldCat Record")</f>
        <v/>
      </c>
      <c r="AU1352" t="inlineStr">
        <is>
          <t>427659392:eng</t>
        </is>
      </c>
      <c r="AV1352" t="inlineStr">
        <is>
          <t>556018</t>
        </is>
      </c>
      <c r="AW1352" t="inlineStr">
        <is>
          <t>991002982999702656</t>
        </is>
      </c>
      <c r="AX1352" t="inlineStr">
        <is>
          <t>991002982999702656</t>
        </is>
      </c>
      <c r="AY1352" t="inlineStr">
        <is>
          <t>2259838060002656</t>
        </is>
      </c>
      <c r="AZ1352" t="inlineStr">
        <is>
          <t>BOOK</t>
        </is>
      </c>
      <c r="BC1352" t="inlineStr">
        <is>
          <t>32285002778362</t>
        </is>
      </c>
      <c r="BD1352" t="inlineStr">
        <is>
          <t>893251870</t>
        </is>
      </c>
    </row>
    <row r="1353">
      <c r="A1353" t="inlineStr">
        <is>
          <t>No</t>
        </is>
      </c>
      <c r="B1353" t="inlineStr">
        <is>
          <t>QD95 .S6365</t>
        </is>
      </c>
      <c r="C1353" t="inlineStr">
        <is>
          <t>0                      QD 0095000S  6365</t>
        </is>
      </c>
      <c r="D1353" t="inlineStr">
        <is>
          <t>Spectroscopy in inorganic chemistry / Contributors: C. J. Ballhausen [and others] Edited by C. N. R. Rao and John R. Ferraro.</t>
        </is>
      </c>
      <c r="F1353" t="inlineStr">
        <is>
          <t>Yes</t>
        </is>
      </c>
      <c r="G1353" t="inlineStr">
        <is>
          <t>1</t>
        </is>
      </c>
      <c r="H1353" t="inlineStr">
        <is>
          <t>Yes</t>
        </is>
      </c>
      <c r="I1353" t="inlineStr">
        <is>
          <t>No</t>
        </is>
      </c>
      <c r="J1353" t="inlineStr">
        <is>
          <t>0</t>
        </is>
      </c>
      <c r="L1353" t="inlineStr">
        <is>
          <t>New York : Academic Press, 1970-71.</t>
        </is>
      </c>
      <c r="M1353" t="inlineStr">
        <is>
          <t>1970</t>
        </is>
      </c>
      <c r="O1353" t="inlineStr">
        <is>
          <t>eng</t>
        </is>
      </c>
      <c r="P1353" t="inlineStr">
        <is>
          <t>nyu</t>
        </is>
      </c>
      <c r="R1353" t="inlineStr">
        <is>
          <t xml:space="preserve">QD </t>
        </is>
      </c>
      <c r="S1353" t="n">
        <v>5</v>
      </c>
      <c r="T1353" t="n">
        <v>10</v>
      </c>
      <c r="U1353" t="inlineStr">
        <is>
          <t>1995-01-20</t>
        </is>
      </c>
      <c r="V1353" t="inlineStr">
        <is>
          <t>1995-01-20</t>
        </is>
      </c>
      <c r="W1353" t="inlineStr">
        <is>
          <t>1993-10-06</t>
        </is>
      </c>
      <c r="X1353" t="inlineStr">
        <is>
          <t>1993-10-06</t>
        </is>
      </c>
      <c r="Y1353" t="n">
        <v>479</v>
      </c>
      <c r="Z1353" t="n">
        <v>372</v>
      </c>
      <c r="AA1353" t="n">
        <v>374</v>
      </c>
      <c r="AB1353" t="n">
        <v>6</v>
      </c>
      <c r="AC1353" t="n">
        <v>6</v>
      </c>
      <c r="AD1353" t="n">
        <v>19</v>
      </c>
      <c r="AE1353" t="n">
        <v>19</v>
      </c>
      <c r="AF1353" t="n">
        <v>4</v>
      </c>
      <c r="AG1353" t="n">
        <v>4</v>
      </c>
      <c r="AH1353" t="n">
        <v>4</v>
      </c>
      <c r="AI1353" t="n">
        <v>4</v>
      </c>
      <c r="AJ1353" t="n">
        <v>10</v>
      </c>
      <c r="AK1353" t="n">
        <v>10</v>
      </c>
      <c r="AL1353" t="n">
        <v>5</v>
      </c>
      <c r="AM1353" t="n">
        <v>5</v>
      </c>
      <c r="AN1353" t="n">
        <v>0</v>
      </c>
      <c r="AO1353" t="n">
        <v>0</v>
      </c>
      <c r="AP1353" t="inlineStr">
        <is>
          <t>No</t>
        </is>
      </c>
      <c r="AQ1353" t="inlineStr">
        <is>
          <t>Yes</t>
        </is>
      </c>
      <c r="AR1353">
        <f>HYPERLINK("http://catalog.hathitrust.org/Record/001995909","HathiTrust Record")</f>
        <v/>
      </c>
      <c r="AS1353">
        <f>HYPERLINK("https://creighton-primo.hosted.exlibrisgroup.com/primo-explore/search?tab=default_tab&amp;search_scope=EVERYTHING&amp;vid=01CRU&amp;lang=en_US&amp;offset=0&amp;query=any,contains,991000617039702656","Catalog Record")</f>
        <v/>
      </c>
      <c r="AT1353">
        <f>HYPERLINK("http://www.worldcat.org/oclc/102024","WorldCat Record")</f>
        <v/>
      </c>
      <c r="AU1353" t="inlineStr">
        <is>
          <t>365248629:eng</t>
        </is>
      </c>
      <c r="AV1353" t="inlineStr">
        <is>
          <t>102024</t>
        </is>
      </c>
      <c r="AW1353" t="inlineStr">
        <is>
          <t>991000617039702656</t>
        </is>
      </c>
      <c r="AX1353" t="inlineStr">
        <is>
          <t>991000617039702656</t>
        </is>
      </c>
      <c r="AY1353" t="inlineStr">
        <is>
          <t>2261760130002656</t>
        </is>
      </c>
      <c r="AZ1353" t="inlineStr">
        <is>
          <t>BOOK</t>
        </is>
      </c>
      <c r="BC1353" t="inlineStr">
        <is>
          <t>32285001773430</t>
        </is>
      </c>
      <c r="BD1353" t="inlineStr">
        <is>
          <t>893714747</t>
        </is>
      </c>
    </row>
    <row r="1354">
      <c r="A1354" t="inlineStr">
        <is>
          <t>No</t>
        </is>
      </c>
      <c r="B1354" t="inlineStr">
        <is>
          <t>QD95 .S6365 V.2</t>
        </is>
      </c>
      <c r="C1354" t="inlineStr">
        <is>
          <t>0                      QD 0095000S  6365                                                    V.2</t>
        </is>
      </c>
      <c r="D1354" t="inlineStr">
        <is>
          <t>Spectroscopy in inorganic chemistry / Contributors: C. J. Ballhausen [and others] Edited by C. N. R. Rao and John R. Ferraro.</t>
        </is>
      </c>
      <c r="E1354" t="inlineStr">
        <is>
          <t>V.2*</t>
        </is>
      </c>
      <c r="F1354" t="inlineStr">
        <is>
          <t>Yes</t>
        </is>
      </c>
      <c r="G1354" t="inlineStr">
        <is>
          <t>1</t>
        </is>
      </c>
      <c r="H1354" t="inlineStr">
        <is>
          <t>No</t>
        </is>
      </c>
      <c r="I1354" t="inlineStr">
        <is>
          <t>No</t>
        </is>
      </c>
      <c r="J1354" t="inlineStr">
        <is>
          <t>0</t>
        </is>
      </c>
      <c r="L1354" t="inlineStr">
        <is>
          <t>New York : Academic Press, 1970-71.</t>
        </is>
      </c>
      <c r="M1354" t="inlineStr">
        <is>
          <t>1970</t>
        </is>
      </c>
      <c r="O1354" t="inlineStr">
        <is>
          <t>eng</t>
        </is>
      </c>
      <c r="P1354" t="inlineStr">
        <is>
          <t>nyu</t>
        </is>
      </c>
      <c r="R1354" t="inlineStr">
        <is>
          <t xml:space="preserve">QD </t>
        </is>
      </c>
      <c r="S1354" t="n">
        <v>5</v>
      </c>
      <c r="T1354" t="n">
        <v>10</v>
      </c>
      <c r="V1354" t="inlineStr">
        <is>
          <t>1995-01-20</t>
        </is>
      </c>
      <c r="W1354" t="inlineStr">
        <is>
          <t>1993-10-06</t>
        </is>
      </c>
      <c r="X1354" t="inlineStr">
        <is>
          <t>1993-10-06</t>
        </is>
      </c>
      <c r="Y1354" t="n">
        <v>479</v>
      </c>
      <c r="Z1354" t="n">
        <v>372</v>
      </c>
      <c r="AA1354" t="n">
        <v>374</v>
      </c>
      <c r="AB1354" t="n">
        <v>6</v>
      </c>
      <c r="AC1354" t="n">
        <v>6</v>
      </c>
      <c r="AD1354" t="n">
        <v>19</v>
      </c>
      <c r="AE1354" t="n">
        <v>19</v>
      </c>
      <c r="AF1354" t="n">
        <v>4</v>
      </c>
      <c r="AG1354" t="n">
        <v>4</v>
      </c>
      <c r="AH1354" t="n">
        <v>4</v>
      </c>
      <c r="AI1354" t="n">
        <v>4</v>
      </c>
      <c r="AJ1354" t="n">
        <v>10</v>
      </c>
      <c r="AK1354" t="n">
        <v>10</v>
      </c>
      <c r="AL1354" t="n">
        <v>5</v>
      </c>
      <c r="AM1354" t="n">
        <v>5</v>
      </c>
      <c r="AN1354" t="n">
        <v>0</v>
      </c>
      <c r="AO1354" t="n">
        <v>0</v>
      </c>
      <c r="AP1354" t="inlineStr">
        <is>
          <t>No</t>
        </is>
      </c>
      <c r="AQ1354" t="inlineStr">
        <is>
          <t>Yes</t>
        </is>
      </c>
      <c r="AR1354">
        <f>HYPERLINK("http://catalog.hathitrust.org/Record/001995909","HathiTrust Record")</f>
        <v/>
      </c>
      <c r="AS1354">
        <f>HYPERLINK("https://creighton-primo.hosted.exlibrisgroup.com/primo-explore/search?tab=default_tab&amp;search_scope=EVERYTHING&amp;vid=01CRU&amp;lang=en_US&amp;offset=0&amp;query=any,contains,991000617039702656","Catalog Record")</f>
        <v/>
      </c>
      <c r="AT1354">
        <f>HYPERLINK("http://www.worldcat.org/oclc/102024","WorldCat Record")</f>
        <v/>
      </c>
      <c r="AU1354" t="inlineStr">
        <is>
          <t>365248629:eng</t>
        </is>
      </c>
      <c r="AV1354" t="inlineStr">
        <is>
          <t>102024</t>
        </is>
      </c>
      <c r="AW1354" t="inlineStr">
        <is>
          <t>991000617039702656</t>
        </is>
      </c>
      <c r="AX1354" t="inlineStr">
        <is>
          <t>991000617039702656</t>
        </is>
      </c>
      <c r="AY1354" t="inlineStr">
        <is>
          <t>2261760130002656</t>
        </is>
      </c>
      <c r="AZ1354" t="inlineStr">
        <is>
          <t>BOOK</t>
        </is>
      </c>
      <c r="BC1354" t="inlineStr">
        <is>
          <t>32285001773422</t>
        </is>
      </c>
      <c r="BD1354" t="inlineStr">
        <is>
          <t>893689865</t>
        </is>
      </c>
    </row>
    <row r="1355">
      <c r="A1355" t="inlineStr">
        <is>
          <t>No</t>
        </is>
      </c>
      <c r="B1355" t="inlineStr">
        <is>
          <t>QD95 .S97</t>
        </is>
      </c>
      <c r="C1355" t="inlineStr">
        <is>
          <t>0                      QD 0095000S  97</t>
        </is>
      </c>
      <c r="D1355" t="inlineStr">
        <is>
          <t>Interpreted infrared spectra / by Herman A. Szymanski.</t>
        </is>
      </c>
      <c r="E1355" t="inlineStr">
        <is>
          <t>V.1</t>
        </is>
      </c>
      <c r="F1355" t="inlineStr">
        <is>
          <t>Yes</t>
        </is>
      </c>
      <c r="G1355" t="inlineStr">
        <is>
          <t>1</t>
        </is>
      </c>
      <c r="H1355" t="inlineStr">
        <is>
          <t>No</t>
        </is>
      </c>
      <c r="I1355" t="inlineStr">
        <is>
          <t>No</t>
        </is>
      </c>
      <c r="J1355" t="inlineStr">
        <is>
          <t>0</t>
        </is>
      </c>
      <c r="K1355" t="inlineStr">
        <is>
          <t>Szymanski, Herman A.</t>
        </is>
      </c>
      <c r="L1355" t="inlineStr">
        <is>
          <t>New York : Plenum Press, 1964-</t>
        </is>
      </c>
      <c r="M1355" t="inlineStr">
        <is>
          <t>1964</t>
        </is>
      </c>
      <c r="O1355" t="inlineStr">
        <is>
          <t>eng</t>
        </is>
      </c>
      <c r="P1355" t="inlineStr">
        <is>
          <t>nyu</t>
        </is>
      </c>
      <c r="R1355" t="inlineStr">
        <is>
          <t xml:space="preserve">QD </t>
        </is>
      </c>
      <c r="S1355" t="n">
        <v>5</v>
      </c>
      <c r="T1355" t="n">
        <v>16</v>
      </c>
      <c r="U1355" t="inlineStr">
        <is>
          <t>1994-10-13</t>
        </is>
      </c>
      <c r="V1355" t="inlineStr">
        <is>
          <t>1997-10-12</t>
        </is>
      </c>
      <c r="W1355" t="inlineStr">
        <is>
          <t>1992-07-02</t>
        </is>
      </c>
      <c r="X1355" t="inlineStr">
        <is>
          <t>1992-07-02</t>
        </is>
      </c>
      <c r="Y1355" t="n">
        <v>591</v>
      </c>
      <c r="Z1355" t="n">
        <v>491</v>
      </c>
      <c r="AA1355" t="n">
        <v>512</v>
      </c>
      <c r="AB1355" t="n">
        <v>6</v>
      </c>
      <c r="AC1355" t="n">
        <v>6</v>
      </c>
      <c r="AD1355" t="n">
        <v>21</v>
      </c>
      <c r="AE1355" t="n">
        <v>21</v>
      </c>
      <c r="AF1355" t="n">
        <v>7</v>
      </c>
      <c r="AG1355" t="n">
        <v>7</v>
      </c>
      <c r="AH1355" t="n">
        <v>5</v>
      </c>
      <c r="AI1355" t="n">
        <v>5</v>
      </c>
      <c r="AJ1355" t="n">
        <v>10</v>
      </c>
      <c r="AK1355" t="n">
        <v>10</v>
      </c>
      <c r="AL1355" t="n">
        <v>5</v>
      </c>
      <c r="AM1355" t="n">
        <v>5</v>
      </c>
      <c r="AN1355" t="n">
        <v>0</v>
      </c>
      <c r="AO1355" t="n">
        <v>0</v>
      </c>
      <c r="AP1355" t="inlineStr">
        <is>
          <t>No</t>
        </is>
      </c>
      <c r="AQ1355" t="inlineStr">
        <is>
          <t>Yes</t>
        </is>
      </c>
      <c r="AR1355">
        <f>HYPERLINK("http://catalog.hathitrust.org/Record/001487260","HathiTrust Record")</f>
        <v/>
      </c>
      <c r="AS1355">
        <f>HYPERLINK("https://creighton-primo.hosted.exlibrisgroup.com/primo-explore/search?tab=default_tab&amp;search_scope=EVERYTHING&amp;vid=01CRU&amp;lang=en_US&amp;offset=0&amp;query=any,contains,991003177379702656","Catalog Record")</f>
        <v/>
      </c>
      <c r="AT1355">
        <f>HYPERLINK("http://www.worldcat.org/oclc/711020","WorldCat Record")</f>
        <v/>
      </c>
      <c r="AU1355" t="inlineStr">
        <is>
          <t>9349375739:eng</t>
        </is>
      </c>
      <c r="AV1355" t="inlineStr">
        <is>
          <t>711020</t>
        </is>
      </c>
      <c r="AW1355" t="inlineStr">
        <is>
          <t>991003177379702656</t>
        </is>
      </c>
      <c r="AX1355" t="inlineStr">
        <is>
          <t>991003177379702656</t>
        </is>
      </c>
      <c r="AY1355" t="inlineStr">
        <is>
          <t>2264048510002656</t>
        </is>
      </c>
      <c r="AZ1355" t="inlineStr">
        <is>
          <t>BOOK</t>
        </is>
      </c>
      <c r="BC1355" t="inlineStr">
        <is>
          <t>32285001147718</t>
        </is>
      </c>
      <c r="BD1355" t="inlineStr">
        <is>
          <t>893428510</t>
        </is>
      </c>
    </row>
    <row r="1356">
      <c r="A1356" t="inlineStr">
        <is>
          <t>No</t>
        </is>
      </c>
      <c r="B1356" t="inlineStr">
        <is>
          <t>QD95 .S97</t>
        </is>
      </c>
      <c r="C1356" t="inlineStr">
        <is>
          <t>0                      QD 0095000S  97</t>
        </is>
      </c>
      <c r="D1356" t="inlineStr">
        <is>
          <t>Interpreted infrared spectra / by Herman A. Szymanski.</t>
        </is>
      </c>
      <c r="E1356" t="inlineStr">
        <is>
          <t>V.2</t>
        </is>
      </c>
      <c r="F1356" t="inlineStr">
        <is>
          <t>Yes</t>
        </is>
      </c>
      <c r="G1356" t="inlineStr">
        <is>
          <t>1</t>
        </is>
      </c>
      <c r="H1356" t="inlineStr">
        <is>
          <t>No</t>
        </is>
      </c>
      <c r="I1356" t="inlineStr">
        <is>
          <t>No</t>
        </is>
      </c>
      <c r="J1356" t="inlineStr">
        <is>
          <t>0</t>
        </is>
      </c>
      <c r="K1356" t="inlineStr">
        <is>
          <t>Szymanski, Herman A.</t>
        </is>
      </c>
      <c r="L1356" t="inlineStr">
        <is>
          <t>New York : Plenum Press, 1964-</t>
        </is>
      </c>
      <c r="M1356" t="inlineStr">
        <is>
          <t>1964</t>
        </is>
      </c>
      <c r="O1356" t="inlineStr">
        <is>
          <t>eng</t>
        </is>
      </c>
      <c r="P1356" t="inlineStr">
        <is>
          <t>nyu</t>
        </is>
      </c>
      <c r="R1356" t="inlineStr">
        <is>
          <t xml:space="preserve">QD </t>
        </is>
      </c>
      <c r="S1356" t="n">
        <v>11</v>
      </c>
      <c r="T1356" t="n">
        <v>16</v>
      </c>
      <c r="U1356" t="inlineStr">
        <is>
          <t>1997-10-12</t>
        </is>
      </c>
      <c r="V1356" t="inlineStr">
        <is>
          <t>1997-10-12</t>
        </is>
      </c>
      <c r="W1356" t="inlineStr">
        <is>
          <t>1992-07-02</t>
        </is>
      </c>
      <c r="X1356" t="inlineStr">
        <is>
          <t>1992-07-02</t>
        </is>
      </c>
      <c r="Y1356" t="n">
        <v>591</v>
      </c>
      <c r="Z1356" t="n">
        <v>491</v>
      </c>
      <c r="AA1356" t="n">
        <v>512</v>
      </c>
      <c r="AB1356" t="n">
        <v>6</v>
      </c>
      <c r="AC1356" t="n">
        <v>6</v>
      </c>
      <c r="AD1356" t="n">
        <v>21</v>
      </c>
      <c r="AE1356" t="n">
        <v>21</v>
      </c>
      <c r="AF1356" t="n">
        <v>7</v>
      </c>
      <c r="AG1356" t="n">
        <v>7</v>
      </c>
      <c r="AH1356" t="n">
        <v>5</v>
      </c>
      <c r="AI1356" t="n">
        <v>5</v>
      </c>
      <c r="AJ1356" t="n">
        <v>10</v>
      </c>
      <c r="AK1356" t="n">
        <v>10</v>
      </c>
      <c r="AL1356" t="n">
        <v>5</v>
      </c>
      <c r="AM1356" t="n">
        <v>5</v>
      </c>
      <c r="AN1356" t="n">
        <v>0</v>
      </c>
      <c r="AO1356" t="n">
        <v>0</v>
      </c>
      <c r="AP1356" t="inlineStr">
        <is>
          <t>No</t>
        </is>
      </c>
      <c r="AQ1356" t="inlineStr">
        <is>
          <t>Yes</t>
        </is>
      </c>
      <c r="AR1356">
        <f>HYPERLINK("http://catalog.hathitrust.org/Record/001487260","HathiTrust Record")</f>
        <v/>
      </c>
      <c r="AS1356">
        <f>HYPERLINK("https://creighton-primo.hosted.exlibrisgroup.com/primo-explore/search?tab=default_tab&amp;search_scope=EVERYTHING&amp;vid=01CRU&amp;lang=en_US&amp;offset=0&amp;query=any,contains,991003177379702656","Catalog Record")</f>
        <v/>
      </c>
      <c r="AT1356">
        <f>HYPERLINK("http://www.worldcat.org/oclc/711020","WorldCat Record")</f>
        <v/>
      </c>
      <c r="AU1356" t="inlineStr">
        <is>
          <t>9349375739:eng</t>
        </is>
      </c>
      <c r="AV1356" t="inlineStr">
        <is>
          <t>711020</t>
        </is>
      </c>
      <c r="AW1356" t="inlineStr">
        <is>
          <t>991003177379702656</t>
        </is>
      </c>
      <c r="AX1356" t="inlineStr">
        <is>
          <t>991003177379702656</t>
        </is>
      </c>
      <c r="AY1356" t="inlineStr">
        <is>
          <t>2264048510002656</t>
        </is>
      </c>
      <c r="AZ1356" t="inlineStr">
        <is>
          <t>BOOK</t>
        </is>
      </c>
      <c r="BC1356" t="inlineStr">
        <is>
          <t>32285001147726</t>
        </is>
      </c>
      <c r="BD1356" t="inlineStr">
        <is>
          <t>893422251</t>
        </is>
      </c>
    </row>
    <row r="1357">
      <c r="A1357" t="inlineStr">
        <is>
          <t>No</t>
        </is>
      </c>
      <c r="B1357" t="inlineStr">
        <is>
          <t>QD95 .T57</t>
        </is>
      </c>
      <c r="C1357" t="inlineStr">
        <is>
          <t>0                      QD 0095000T  57</t>
        </is>
      </c>
      <c r="D1357" t="inlineStr">
        <is>
          <t>Laser Raman spectroscopy [by] Marvin C. Tobin.</t>
        </is>
      </c>
      <c r="F1357" t="inlineStr">
        <is>
          <t>No</t>
        </is>
      </c>
      <c r="G1357" t="inlineStr">
        <is>
          <t>1</t>
        </is>
      </c>
      <c r="H1357" t="inlineStr">
        <is>
          <t>No</t>
        </is>
      </c>
      <c r="I1357" t="inlineStr">
        <is>
          <t>No</t>
        </is>
      </c>
      <c r="J1357" t="inlineStr">
        <is>
          <t>0</t>
        </is>
      </c>
      <c r="K1357" t="inlineStr">
        <is>
          <t>Tobin, Marvin Charles.</t>
        </is>
      </c>
      <c r="L1357" t="inlineStr">
        <is>
          <t>New York, Wiley-Interscience [1971]</t>
        </is>
      </c>
      <c r="M1357" t="inlineStr">
        <is>
          <t>1971</t>
        </is>
      </c>
      <c r="O1357" t="inlineStr">
        <is>
          <t>eng</t>
        </is>
      </c>
      <c r="P1357" t="inlineStr">
        <is>
          <t>nyu</t>
        </is>
      </c>
      <c r="Q1357" t="inlineStr">
        <is>
          <t>Chemical analysis ; v. 35</t>
        </is>
      </c>
      <c r="R1357" t="inlineStr">
        <is>
          <t xml:space="preserve">QD </t>
        </is>
      </c>
      <c r="S1357" t="n">
        <v>1</v>
      </c>
      <c r="T1357" t="n">
        <v>1</v>
      </c>
      <c r="U1357" t="inlineStr">
        <is>
          <t>1993-03-03</t>
        </is>
      </c>
      <c r="V1357" t="inlineStr">
        <is>
          <t>1993-03-03</t>
        </is>
      </c>
      <c r="W1357" t="inlineStr">
        <is>
          <t>1992-04-29</t>
        </is>
      </c>
      <c r="X1357" t="inlineStr">
        <is>
          <t>1992-04-29</t>
        </is>
      </c>
      <c r="Y1357" t="n">
        <v>478</v>
      </c>
      <c r="Z1357" t="n">
        <v>349</v>
      </c>
      <c r="AA1357" t="n">
        <v>370</v>
      </c>
      <c r="AB1357" t="n">
        <v>5</v>
      </c>
      <c r="AC1357" t="n">
        <v>5</v>
      </c>
      <c r="AD1357" t="n">
        <v>17</v>
      </c>
      <c r="AE1357" t="n">
        <v>18</v>
      </c>
      <c r="AF1357" t="n">
        <v>4</v>
      </c>
      <c r="AG1357" t="n">
        <v>5</v>
      </c>
      <c r="AH1357" t="n">
        <v>3</v>
      </c>
      <c r="AI1357" t="n">
        <v>3</v>
      </c>
      <c r="AJ1357" t="n">
        <v>9</v>
      </c>
      <c r="AK1357" t="n">
        <v>9</v>
      </c>
      <c r="AL1357" t="n">
        <v>4</v>
      </c>
      <c r="AM1357" t="n">
        <v>4</v>
      </c>
      <c r="AN1357" t="n">
        <v>0</v>
      </c>
      <c r="AO1357" t="n">
        <v>0</v>
      </c>
      <c r="AP1357" t="inlineStr">
        <is>
          <t>No</t>
        </is>
      </c>
      <c r="AQ1357" t="inlineStr">
        <is>
          <t>Yes</t>
        </is>
      </c>
      <c r="AR1357">
        <f>HYPERLINK("http://catalog.hathitrust.org/Record/001487261","HathiTrust Record")</f>
        <v/>
      </c>
      <c r="AS1357">
        <f>HYPERLINK("https://creighton-primo.hosted.exlibrisgroup.com/primo-explore/search?tab=default_tab&amp;search_scope=EVERYTHING&amp;vid=01CRU&amp;lang=en_US&amp;offset=0&amp;query=any,contains,991002252079702656","Catalog Record")</f>
        <v/>
      </c>
      <c r="AT1357">
        <f>HYPERLINK("http://www.worldcat.org/oclc/299492","WorldCat Record")</f>
        <v/>
      </c>
      <c r="AU1357" t="inlineStr">
        <is>
          <t>1509595:eng</t>
        </is>
      </c>
      <c r="AV1357" t="inlineStr">
        <is>
          <t>299492</t>
        </is>
      </c>
      <c r="AW1357" t="inlineStr">
        <is>
          <t>991002252079702656</t>
        </is>
      </c>
      <c r="AX1357" t="inlineStr">
        <is>
          <t>991002252079702656</t>
        </is>
      </c>
      <c r="AY1357" t="inlineStr">
        <is>
          <t>2264429610002656</t>
        </is>
      </c>
      <c r="AZ1357" t="inlineStr">
        <is>
          <t>BOOK</t>
        </is>
      </c>
      <c r="BB1357" t="inlineStr">
        <is>
          <t>9780471875505</t>
        </is>
      </c>
      <c r="BC1357" t="inlineStr">
        <is>
          <t>32285001103331</t>
        </is>
      </c>
      <c r="BD1357" t="inlineStr">
        <is>
          <t>893785907</t>
        </is>
      </c>
    </row>
    <row r="1358">
      <c r="A1358" t="inlineStr">
        <is>
          <t>No</t>
        </is>
      </c>
      <c r="B1358" t="inlineStr">
        <is>
          <t>QD95.5.S72 B78 2006</t>
        </is>
      </c>
      <c r="C1358" t="inlineStr">
        <is>
          <t>0                      QD 0095500S  72                 B  78          2006</t>
        </is>
      </c>
      <c r="D1358" t="inlineStr">
        <is>
          <t>CRC handbook of fundamental spectroscopic correlation charts / Thomas J. Bruno, Paris D.N. Svoronos.</t>
        </is>
      </c>
      <c r="F1358" t="inlineStr">
        <is>
          <t>No</t>
        </is>
      </c>
      <c r="G1358" t="inlineStr">
        <is>
          <t>1</t>
        </is>
      </c>
      <c r="H1358" t="inlineStr">
        <is>
          <t>No</t>
        </is>
      </c>
      <c r="I1358" t="inlineStr">
        <is>
          <t>No</t>
        </is>
      </c>
      <c r="J1358" t="inlineStr">
        <is>
          <t>0</t>
        </is>
      </c>
      <c r="K1358" t="inlineStr">
        <is>
          <t>Bruno, Thomas J.</t>
        </is>
      </c>
      <c r="L1358" t="inlineStr">
        <is>
          <t>Boca Raton, FL : CRC Press, 2006.</t>
        </is>
      </c>
      <c r="M1358" t="inlineStr">
        <is>
          <t>2006</t>
        </is>
      </c>
      <c r="O1358" t="inlineStr">
        <is>
          <t>eng</t>
        </is>
      </c>
      <c r="P1358" t="inlineStr">
        <is>
          <t>flu</t>
        </is>
      </c>
      <c r="R1358" t="inlineStr">
        <is>
          <t xml:space="preserve">QD </t>
        </is>
      </c>
      <c r="S1358" t="n">
        <v>1</v>
      </c>
      <c r="T1358" t="n">
        <v>1</v>
      </c>
      <c r="U1358" t="inlineStr">
        <is>
          <t>2007-03-13</t>
        </is>
      </c>
      <c r="V1358" t="inlineStr">
        <is>
          <t>2007-03-13</t>
        </is>
      </c>
      <c r="W1358" t="inlineStr">
        <is>
          <t>2007-03-13</t>
        </is>
      </c>
      <c r="X1358" t="inlineStr">
        <is>
          <t>2007-03-13</t>
        </is>
      </c>
      <c r="Y1358" t="n">
        <v>275</v>
      </c>
      <c r="Z1358" t="n">
        <v>221</v>
      </c>
      <c r="AA1358" t="n">
        <v>266</v>
      </c>
      <c r="AB1358" t="n">
        <v>4</v>
      </c>
      <c r="AC1358" t="n">
        <v>4</v>
      </c>
      <c r="AD1358" t="n">
        <v>16</v>
      </c>
      <c r="AE1358" t="n">
        <v>16</v>
      </c>
      <c r="AF1358" t="n">
        <v>7</v>
      </c>
      <c r="AG1358" t="n">
        <v>7</v>
      </c>
      <c r="AH1358" t="n">
        <v>3</v>
      </c>
      <c r="AI1358" t="n">
        <v>3</v>
      </c>
      <c r="AJ1358" t="n">
        <v>5</v>
      </c>
      <c r="AK1358" t="n">
        <v>5</v>
      </c>
      <c r="AL1358" t="n">
        <v>3</v>
      </c>
      <c r="AM1358" t="n">
        <v>3</v>
      </c>
      <c r="AN1358" t="n">
        <v>0</v>
      </c>
      <c r="AO1358" t="n">
        <v>0</v>
      </c>
      <c r="AP1358" t="inlineStr">
        <is>
          <t>No</t>
        </is>
      </c>
      <c r="AQ1358" t="inlineStr">
        <is>
          <t>No</t>
        </is>
      </c>
      <c r="AS1358">
        <f>HYPERLINK("https://creighton-primo.hosted.exlibrisgroup.com/primo-explore/search?tab=default_tab&amp;search_scope=EVERYTHING&amp;vid=01CRU&amp;lang=en_US&amp;offset=0&amp;query=any,contains,991005046709702656","Catalog Record")</f>
        <v/>
      </c>
      <c r="AT1358">
        <f>HYPERLINK("http://www.worldcat.org/oclc/60516675","WorldCat Record")</f>
        <v/>
      </c>
      <c r="AU1358" t="inlineStr">
        <is>
          <t>46699443:eng</t>
        </is>
      </c>
      <c r="AV1358" t="inlineStr">
        <is>
          <t>60516675</t>
        </is>
      </c>
      <c r="AW1358" t="inlineStr">
        <is>
          <t>991005046709702656</t>
        </is>
      </c>
      <c r="AX1358" t="inlineStr">
        <is>
          <t>991005046709702656</t>
        </is>
      </c>
      <c r="AY1358" t="inlineStr">
        <is>
          <t>2267961610002656</t>
        </is>
      </c>
      <c r="AZ1358" t="inlineStr">
        <is>
          <t>BOOK</t>
        </is>
      </c>
      <c r="BB1358" t="inlineStr">
        <is>
          <t>9780849332500</t>
        </is>
      </c>
      <c r="BC1358" t="inlineStr">
        <is>
          <t>32285005281265</t>
        </is>
      </c>
      <c r="BD1358" t="inlineStr">
        <is>
          <t>893533074</t>
        </is>
      </c>
    </row>
    <row r="1359">
      <c r="A1359" t="inlineStr">
        <is>
          <t>No</t>
        </is>
      </c>
      <c r="B1359" t="inlineStr">
        <is>
          <t>QD96.A8 H65 2002</t>
        </is>
      </c>
      <c r="C1359" t="inlineStr">
        <is>
          <t>0                      QD 0096000A  8                  H  65          2002</t>
        </is>
      </c>
      <c r="D1359" t="inlineStr">
        <is>
          <t>Basic atomic and molecular spectroscopy / J. Michael Hollas.</t>
        </is>
      </c>
      <c r="F1359" t="inlineStr">
        <is>
          <t>No</t>
        </is>
      </c>
      <c r="G1359" t="inlineStr">
        <is>
          <t>1</t>
        </is>
      </c>
      <c r="H1359" t="inlineStr">
        <is>
          <t>No</t>
        </is>
      </c>
      <c r="I1359" t="inlineStr">
        <is>
          <t>No</t>
        </is>
      </c>
      <c r="J1359" t="inlineStr">
        <is>
          <t>0</t>
        </is>
      </c>
      <c r="K1359" t="inlineStr">
        <is>
          <t>Hollas, J. Michael (John Michael)</t>
        </is>
      </c>
      <c r="L1359" t="inlineStr">
        <is>
          <t>New York : Wiley-Interscience, c2002.</t>
        </is>
      </c>
      <c r="M1359" t="inlineStr">
        <is>
          <t>2002</t>
        </is>
      </c>
      <c r="O1359" t="inlineStr">
        <is>
          <t>eng</t>
        </is>
      </c>
      <c r="P1359" t="inlineStr">
        <is>
          <t>nyu</t>
        </is>
      </c>
      <c r="Q1359" t="inlineStr">
        <is>
          <t>Basic concepts in chemistry</t>
        </is>
      </c>
      <c r="R1359" t="inlineStr">
        <is>
          <t xml:space="preserve">QD </t>
        </is>
      </c>
      <c r="S1359" t="n">
        <v>4</v>
      </c>
      <c r="T1359" t="n">
        <v>4</v>
      </c>
      <c r="U1359" t="inlineStr">
        <is>
          <t>2010-01-21</t>
        </is>
      </c>
      <c r="V1359" t="inlineStr">
        <is>
          <t>2010-01-21</t>
        </is>
      </c>
      <c r="W1359" t="inlineStr">
        <is>
          <t>2003-11-17</t>
        </is>
      </c>
      <c r="X1359" t="inlineStr">
        <is>
          <t>2003-11-17</t>
        </is>
      </c>
      <c r="Y1359" t="n">
        <v>256</v>
      </c>
      <c r="Z1359" t="n">
        <v>201</v>
      </c>
      <c r="AA1359" t="n">
        <v>308</v>
      </c>
      <c r="AB1359" t="n">
        <v>1</v>
      </c>
      <c r="AC1359" t="n">
        <v>3</v>
      </c>
      <c r="AD1359" t="n">
        <v>4</v>
      </c>
      <c r="AE1359" t="n">
        <v>10</v>
      </c>
      <c r="AF1359" t="n">
        <v>2</v>
      </c>
      <c r="AG1359" t="n">
        <v>4</v>
      </c>
      <c r="AH1359" t="n">
        <v>1</v>
      </c>
      <c r="AI1359" t="n">
        <v>3</v>
      </c>
      <c r="AJ1359" t="n">
        <v>2</v>
      </c>
      <c r="AK1359" t="n">
        <v>4</v>
      </c>
      <c r="AL1359" t="n">
        <v>0</v>
      </c>
      <c r="AM1359" t="n">
        <v>2</v>
      </c>
      <c r="AN1359" t="n">
        <v>0</v>
      </c>
      <c r="AO1359" t="n">
        <v>0</v>
      </c>
      <c r="AP1359" t="inlineStr">
        <is>
          <t>No</t>
        </is>
      </c>
      <c r="AQ1359" t="inlineStr">
        <is>
          <t>No</t>
        </is>
      </c>
      <c r="AS1359">
        <f>HYPERLINK("https://creighton-primo.hosted.exlibrisgroup.com/primo-explore/search?tab=default_tab&amp;search_scope=EVERYTHING&amp;vid=01CRU&amp;lang=en_US&amp;offset=0&amp;query=any,contains,991004183069702656","Catalog Record")</f>
        <v/>
      </c>
      <c r="AT1359">
        <f>HYPERLINK("http://www.worldcat.org/oclc/51298206","WorldCat Record")</f>
        <v/>
      </c>
      <c r="AU1359" t="inlineStr">
        <is>
          <t>1019183:eng</t>
        </is>
      </c>
      <c r="AV1359" t="inlineStr">
        <is>
          <t>51298206</t>
        </is>
      </c>
      <c r="AW1359" t="inlineStr">
        <is>
          <t>991004183069702656</t>
        </is>
      </c>
      <c r="AX1359" t="inlineStr">
        <is>
          <t>991004183069702656</t>
        </is>
      </c>
      <c r="AY1359" t="inlineStr">
        <is>
          <t>2263478900002656</t>
        </is>
      </c>
      <c r="AZ1359" t="inlineStr">
        <is>
          <t>BOOK</t>
        </is>
      </c>
      <c r="BB1359" t="inlineStr">
        <is>
          <t>9780471281627</t>
        </is>
      </c>
      <c r="BC1359" t="inlineStr">
        <is>
          <t>32285004798822</t>
        </is>
      </c>
      <c r="BD1359" t="inlineStr">
        <is>
          <t>893593371</t>
        </is>
      </c>
    </row>
    <row r="1360">
      <c r="A1360" t="inlineStr">
        <is>
          <t>No</t>
        </is>
      </c>
      <c r="B1360" t="inlineStr">
        <is>
          <t>QD96.A8 S37</t>
        </is>
      </c>
      <c r="C1360" t="inlineStr">
        <is>
          <t>0                      QD 0096000A  8                  S  37</t>
        </is>
      </c>
      <c r="D1360" t="inlineStr">
        <is>
          <t>Analytical atomic spectroscopy / William G. Schrenk.</t>
        </is>
      </c>
      <c r="F1360" t="inlineStr">
        <is>
          <t>No</t>
        </is>
      </c>
      <c r="G1360" t="inlineStr">
        <is>
          <t>1</t>
        </is>
      </c>
      <c r="H1360" t="inlineStr">
        <is>
          <t>No</t>
        </is>
      </c>
      <c r="I1360" t="inlineStr">
        <is>
          <t>No</t>
        </is>
      </c>
      <c r="J1360" t="inlineStr">
        <is>
          <t>0</t>
        </is>
      </c>
      <c r="K1360" t="inlineStr">
        <is>
          <t>Schrenk, William G., 1910-</t>
        </is>
      </c>
      <c r="L1360" t="inlineStr">
        <is>
          <t>New York : Plenum Press, [1975]</t>
        </is>
      </c>
      <c r="M1360" t="inlineStr">
        <is>
          <t>1975</t>
        </is>
      </c>
      <c r="O1360" t="inlineStr">
        <is>
          <t>eng</t>
        </is>
      </c>
      <c r="P1360" t="inlineStr">
        <is>
          <t>nyu</t>
        </is>
      </c>
      <c r="Q1360" t="inlineStr">
        <is>
          <t>Modern analytical chemistry</t>
        </is>
      </c>
      <c r="R1360" t="inlineStr">
        <is>
          <t xml:space="preserve">QD </t>
        </is>
      </c>
      <c r="S1360" t="n">
        <v>1</v>
      </c>
      <c r="T1360" t="n">
        <v>1</v>
      </c>
      <c r="U1360" t="inlineStr">
        <is>
          <t>2002-02-24</t>
        </is>
      </c>
      <c r="V1360" t="inlineStr">
        <is>
          <t>2002-02-24</t>
        </is>
      </c>
      <c r="W1360" t="inlineStr">
        <is>
          <t>1997-05-29</t>
        </is>
      </c>
      <c r="X1360" t="inlineStr">
        <is>
          <t>1997-05-29</t>
        </is>
      </c>
      <c r="Y1360" t="n">
        <v>412</v>
      </c>
      <c r="Z1360" t="n">
        <v>317</v>
      </c>
      <c r="AA1360" t="n">
        <v>339</v>
      </c>
      <c r="AB1360" t="n">
        <v>2</v>
      </c>
      <c r="AC1360" t="n">
        <v>3</v>
      </c>
      <c r="AD1360" t="n">
        <v>13</v>
      </c>
      <c r="AE1360" t="n">
        <v>14</v>
      </c>
      <c r="AF1360" t="n">
        <v>4</v>
      </c>
      <c r="AG1360" t="n">
        <v>4</v>
      </c>
      <c r="AH1360" t="n">
        <v>4</v>
      </c>
      <c r="AI1360" t="n">
        <v>4</v>
      </c>
      <c r="AJ1360" t="n">
        <v>7</v>
      </c>
      <c r="AK1360" t="n">
        <v>7</v>
      </c>
      <c r="AL1360" t="n">
        <v>1</v>
      </c>
      <c r="AM1360" t="n">
        <v>2</v>
      </c>
      <c r="AN1360" t="n">
        <v>0</v>
      </c>
      <c r="AO1360" t="n">
        <v>0</v>
      </c>
      <c r="AP1360" t="inlineStr">
        <is>
          <t>No</t>
        </is>
      </c>
      <c r="AQ1360" t="inlineStr">
        <is>
          <t>Yes</t>
        </is>
      </c>
      <c r="AR1360">
        <f>HYPERLINK("http://catalog.hathitrust.org/Record/000021525","HathiTrust Record")</f>
        <v/>
      </c>
      <c r="AS1360">
        <f>HYPERLINK("https://creighton-primo.hosted.exlibrisgroup.com/primo-explore/search?tab=default_tab&amp;search_scope=EVERYTHING&amp;vid=01CRU&amp;lang=en_US&amp;offset=0&amp;query=any,contains,991003804329702656","Catalog Record")</f>
        <v/>
      </c>
      <c r="AT1360">
        <f>HYPERLINK("http://www.worldcat.org/oclc/1529518","WorldCat Record")</f>
        <v/>
      </c>
      <c r="AU1360" t="inlineStr">
        <is>
          <t>436744:eng</t>
        </is>
      </c>
      <c r="AV1360" t="inlineStr">
        <is>
          <t>1529518</t>
        </is>
      </c>
      <c r="AW1360" t="inlineStr">
        <is>
          <t>991003804329702656</t>
        </is>
      </c>
      <c r="AX1360" t="inlineStr">
        <is>
          <t>991003804329702656</t>
        </is>
      </c>
      <c r="AY1360" t="inlineStr">
        <is>
          <t>2256714640002656</t>
        </is>
      </c>
      <c r="AZ1360" t="inlineStr">
        <is>
          <t>BOOK</t>
        </is>
      </c>
      <c r="BB1360" t="inlineStr">
        <is>
          <t>9780306339028</t>
        </is>
      </c>
      <c r="BC1360" t="inlineStr">
        <is>
          <t>32285002778396</t>
        </is>
      </c>
      <c r="BD1360" t="inlineStr">
        <is>
          <t>893499738</t>
        </is>
      </c>
    </row>
    <row r="1361">
      <c r="A1361" t="inlineStr">
        <is>
          <t>No</t>
        </is>
      </c>
      <c r="B1361" t="inlineStr">
        <is>
          <t>QD96.A8 V37 1984, v...</t>
        </is>
      </c>
      <c r="C1361" t="inlineStr">
        <is>
          <t>0                      QD 0096000A  8                  V  37          1984                  v...</t>
        </is>
      </c>
      <c r="D1361" t="inlineStr">
        <is>
          <t>CRC handbook of atomic absorption analysis / author, Asha Varma.</t>
        </is>
      </c>
      <c r="E1361" t="inlineStr">
        <is>
          <t>V.2</t>
        </is>
      </c>
      <c r="F1361" t="inlineStr">
        <is>
          <t>Yes</t>
        </is>
      </c>
      <c r="G1361" t="inlineStr">
        <is>
          <t>1</t>
        </is>
      </c>
      <c r="H1361" t="inlineStr">
        <is>
          <t>No</t>
        </is>
      </c>
      <c r="I1361" t="inlineStr">
        <is>
          <t>No</t>
        </is>
      </c>
      <c r="J1361" t="inlineStr">
        <is>
          <t>0</t>
        </is>
      </c>
      <c r="K1361" t="inlineStr">
        <is>
          <t>Varma, Asha, 1942-</t>
        </is>
      </c>
      <c r="L1361" t="inlineStr">
        <is>
          <t>Boca Raton, Fla. : CRC Press, c1984-</t>
        </is>
      </c>
      <c r="M1361" t="inlineStr">
        <is>
          <t>1984</t>
        </is>
      </c>
      <c r="O1361" t="inlineStr">
        <is>
          <t>eng</t>
        </is>
      </c>
      <c r="P1361" t="inlineStr">
        <is>
          <t>flu</t>
        </is>
      </c>
      <c r="R1361" t="inlineStr">
        <is>
          <t xml:space="preserve">QD </t>
        </is>
      </c>
      <c r="S1361" t="n">
        <v>4</v>
      </c>
      <c r="T1361" t="n">
        <v>9</v>
      </c>
      <c r="U1361" t="inlineStr">
        <is>
          <t>2006-09-07</t>
        </is>
      </c>
      <c r="V1361" t="inlineStr">
        <is>
          <t>2006-09-07</t>
        </is>
      </c>
      <c r="W1361" t="inlineStr">
        <is>
          <t>1993-01-22</t>
        </is>
      </c>
      <c r="X1361" t="inlineStr">
        <is>
          <t>1993-01-22</t>
        </is>
      </c>
      <c r="Y1361" t="n">
        <v>408</v>
      </c>
      <c r="Z1361" t="n">
        <v>311</v>
      </c>
      <c r="AA1361" t="n">
        <v>313</v>
      </c>
      <c r="AB1361" t="n">
        <v>3</v>
      </c>
      <c r="AC1361" t="n">
        <v>3</v>
      </c>
      <c r="AD1361" t="n">
        <v>8</v>
      </c>
      <c r="AE1361" t="n">
        <v>8</v>
      </c>
      <c r="AF1361" t="n">
        <v>1</v>
      </c>
      <c r="AG1361" t="n">
        <v>1</v>
      </c>
      <c r="AH1361" t="n">
        <v>3</v>
      </c>
      <c r="AI1361" t="n">
        <v>3</v>
      </c>
      <c r="AJ1361" t="n">
        <v>4</v>
      </c>
      <c r="AK1361" t="n">
        <v>4</v>
      </c>
      <c r="AL1361" t="n">
        <v>2</v>
      </c>
      <c r="AM1361" t="n">
        <v>2</v>
      </c>
      <c r="AN1361" t="n">
        <v>0</v>
      </c>
      <c r="AO1361" t="n">
        <v>0</v>
      </c>
      <c r="AP1361" t="inlineStr">
        <is>
          <t>No</t>
        </is>
      </c>
      <c r="AQ1361" t="inlineStr">
        <is>
          <t>Yes</t>
        </is>
      </c>
      <c r="AR1361">
        <f>HYPERLINK("http://catalog.hathitrust.org/Record/000333100","HathiTrust Record")</f>
        <v/>
      </c>
      <c r="AS1361">
        <f>HYPERLINK("https://creighton-primo.hosted.exlibrisgroup.com/primo-explore/search?tab=default_tab&amp;search_scope=EVERYTHING&amp;vid=01CRU&amp;lang=en_US&amp;offset=0&amp;query=any,contains,991000287669702656","Catalog Record")</f>
        <v/>
      </c>
      <c r="AT1361">
        <f>HYPERLINK("http://www.worldcat.org/oclc/9945343","WorldCat Record")</f>
        <v/>
      </c>
      <c r="AU1361" t="inlineStr">
        <is>
          <t>43373538:eng</t>
        </is>
      </c>
      <c r="AV1361" t="inlineStr">
        <is>
          <t>9945343</t>
        </is>
      </c>
      <c r="AW1361" t="inlineStr">
        <is>
          <t>991000287669702656</t>
        </is>
      </c>
      <c r="AX1361" t="inlineStr">
        <is>
          <t>991000287669702656</t>
        </is>
      </c>
      <c r="AY1361" t="inlineStr">
        <is>
          <t>2264230870002656</t>
        </is>
      </c>
      <c r="AZ1361" t="inlineStr">
        <is>
          <t>BOOK</t>
        </is>
      </c>
      <c r="BB1361" t="inlineStr">
        <is>
          <t>9780849329869</t>
        </is>
      </c>
      <c r="BC1361" t="inlineStr">
        <is>
          <t>32285001515245</t>
        </is>
      </c>
      <c r="BD1361" t="inlineStr">
        <is>
          <t>893683294</t>
        </is>
      </c>
    </row>
    <row r="1362">
      <c r="A1362" t="inlineStr">
        <is>
          <t>No</t>
        </is>
      </c>
      <c r="B1362" t="inlineStr">
        <is>
          <t>QD96.A8 V37 1984, v...</t>
        </is>
      </c>
      <c r="C1362" t="inlineStr">
        <is>
          <t>0                      QD 0096000A  8                  V  37          1984                  v...</t>
        </is>
      </c>
      <c r="D1362" t="inlineStr">
        <is>
          <t>CRC handbook of atomic absorption analysis / author, Asha Varma.</t>
        </is>
      </c>
      <c r="E1362" t="inlineStr">
        <is>
          <t>V.1</t>
        </is>
      </c>
      <c r="F1362" t="inlineStr">
        <is>
          <t>Yes</t>
        </is>
      </c>
      <c r="G1362" t="inlineStr">
        <is>
          <t>1</t>
        </is>
      </c>
      <c r="H1362" t="inlineStr">
        <is>
          <t>No</t>
        </is>
      </c>
      <c r="I1362" t="inlineStr">
        <is>
          <t>No</t>
        </is>
      </c>
      <c r="J1362" t="inlineStr">
        <is>
          <t>0</t>
        </is>
      </c>
      <c r="K1362" t="inlineStr">
        <is>
          <t>Varma, Asha, 1942-</t>
        </is>
      </c>
      <c r="L1362" t="inlineStr">
        <is>
          <t>Boca Raton, Fla. : CRC Press, c1984-</t>
        </is>
      </c>
      <c r="M1362" t="inlineStr">
        <is>
          <t>1984</t>
        </is>
      </c>
      <c r="O1362" t="inlineStr">
        <is>
          <t>eng</t>
        </is>
      </c>
      <c r="P1362" t="inlineStr">
        <is>
          <t>flu</t>
        </is>
      </c>
      <c r="R1362" t="inlineStr">
        <is>
          <t xml:space="preserve">QD </t>
        </is>
      </c>
      <c r="S1362" t="n">
        <v>5</v>
      </c>
      <c r="T1362" t="n">
        <v>9</v>
      </c>
      <c r="U1362" t="inlineStr">
        <is>
          <t>1995-02-22</t>
        </is>
      </c>
      <c r="V1362" t="inlineStr">
        <is>
          <t>2006-09-07</t>
        </is>
      </c>
      <c r="W1362" t="inlineStr">
        <is>
          <t>1992-12-18</t>
        </is>
      </c>
      <c r="X1362" t="inlineStr">
        <is>
          <t>1993-01-22</t>
        </is>
      </c>
      <c r="Y1362" t="n">
        <v>408</v>
      </c>
      <c r="Z1362" t="n">
        <v>311</v>
      </c>
      <c r="AA1362" t="n">
        <v>313</v>
      </c>
      <c r="AB1362" t="n">
        <v>3</v>
      </c>
      <c r="AC1362" t="n">
        <v>3</v>
      </c>
      <c r="AD1362" t="n">
        <v>8</v>
      </c>
      <c r="AE1362" t="n">
        <v>8</v>
      </c>
      <c r="AF1362" t="n">
        <v>1</v>
      </c>
      <c r="AG1362" t="n">
        <v>1</v>
      </c>
      <c r="AH1362" t="n">
        <v>3</v>
      </c>
      <c r="AI1362" t="n">
        <v>3</v>
      </c>
      <c r="AJ1362" t="n">
        <v>4</v>
      </c>
      <c r="AK1362" t="n">
        <v>4</v>
      </c>
      <c r="AL1362" t="n">
        <v>2</v>
      </c>
      <c r="AM1362" t="n">
        <v>2</v>
      </c>
      <c r="AN1362" t="n">
        <v>0</v>
      </c>
      <c r="AO1362" t="n">
        <v>0</v>
      </c>
      <c r="AP1362" t="inlineStr">
        <is>
          <t>No</t>
        </is>
      </c>
      <c r="AQ1362" t="inlineStr">
        <is>
          <t>Yes</t>
        </is>
      </c>
      <c r="AR1362">
        <f>HYPERLINK("http://catalog.hathitrust.org/Record/000333100","HathiTrust Record")</f>
        <v/>
      </c>
      <c r="AS1362">
        <f>HYPERLINK("https://creighton-primo.hosted.exlibrisgroup.com/primo-explore/search?tab=default_tab&amp;search_scope=EVERYTHING&amp;vid=01CRU&amp;lang=en_US&amp;offset=0&amp;query=any,contains,991000287669702656","Catalog Record")</f>
        <v/>
      </c>
      <c r="AT1362">
        <f>HYPERLINK("http://www.worldcat.org/oclc/9945343","WorldCat Record")</f>
        <v/>
      </c>
      <c r="AU1362" t="inlineStr">
        <is>
          <t>43373538:eng</t>
        </is>
      </c>
      <c r="AV1362" t="inlineStr">
        <is>
          <t>9945343</t>
        </is>
      </c>
      <c r="AW1362" t="inlineStr">
        <is>
          <t>991000287669702656</t>
        </is>
      </c>
      <c r="AX1362" t="inlineStr">
        <is>
          <t>991000287669702656</t>
        </is>
      </c>
      <c r="AY1362" t="inlineStr">
        <is>
          <t>2264230870002656</t>
        </is>
      </c>
      <c r="AZ1362" t="inlineStr">
        <is>
          <t>BOOK</t>
        </is>
      </c>
      <c r="BB1362" t="inlineStr">
        <is>
          <t>9780849329869</t>
        </is>
      </c>
      <c r="BC1362" t="inlineStr">
        <is>
          <t>32285001443869</t>
        </is>
      </c>
      <c r="BD1362" t="inlineStr">
        <is>
          <t>893683295</t>
        </is>
      </c>
    </row>
    <row r="1363">
      <c r="A1363" t="inlineStr">
        <is>
          <t>No</t>
        </is>
      </c>
      <c r="B1363" t="inlineStr">
        <is>
          <t>QD96.I5 G86 2000</t>
        </is>
      </c>
      <c r="C1363" t="inlineStr">
        <is>
          <t>0                      QD 0096000I  5                  G  86          2000</t>
        </is>
      </c>
      <c r="D1363" t="inlineStr">
        <is>
          <t>IR spectroscopy : an introduction / Helmut Geunzler and H. Michael Heise ; translated by Mary-Joan Bleumich.</t>
        </is>
      </c>
      <c r="F1363" t="inlineStr">
        <is>
          <t>No</t>
        </is>
      </c>
      <c r="G1363" t="inlineStr">
        <is>
          <t>1</t>
        </is>
      </c>
      <c r="H1363" t="inlineStr">
        <is>
          <t>No</t>
        </is>
      </c>
      <c r="I1363" t="inlineStr">
        <is>
          <t>No</t>
        </is>
      </c>
      <c r="J1363" t="inlineStr">
        <is>
          <t>0</t>
        </is>
      </c>
      <c r="K1363" t="inlineStr">
        <is>
          <t>Günzler, Helmut.</t>
        </is>
      </c>
      <c r="L1363" t="inlineStr">
        <is>
          <t>Weinheim : Wiley-VCH, c2002.</t>
        </is>
      </c>
      <c r="M1363" t="inlineStr">
        <is>
          <t>2002</t>
        </is>
      </c>
      <c r="O1363" t="inlineStr">
        <is>
          <t>eng</t>
        </is>
      </c>
      <c r="P1363" t="inlineStr">
        <is>
          <t xml:space="preserve">gw </t>
        </is>
      </c>
      <c r="R1363" t="inlineStr">
        <is>
          <t xml:space="preserve">QD </t>
        </is>
      </c>
      <c r="S1363" t="n">
        <v>5</v>
      </c>
      <c r="T1363" t="n">
        <v>5</v>
      </c>
      <c r="U1363" t="inlineStr">
        <is>
          <t>2010-10-14</t>
        </is>
      </c>
      <c r="V1363" t="inlineStr">
        <is>
          <t>2010-10-14</t>
        </is>
      </c>
      <c r="W1363" t="inlineStr">
        <is>
          <t>2004-05-03</t>
        </is>
      </c>
      <c r="X1363" t="inlineStr">
        <is>
          <t>2004-05-03</t>
        </is>
      </c>
      <c r="Y1363" t="n">
        <v>249</v>
      </c>
      <c r="Z1363" t="n">
        <v>153</v>
      </c>
      <c r="AA1363" t="n">
        <v>160</v>
      </c>
      <c r="AB1363" t="n">
        <v>3</v>
      </c>
      <c r="AC1363" t="n">
        <v>3</v>
      </c>
      <c r="AD1363" t="n">
        <v>11</v>
      </c>
      <c r="AE1363" t="n">
        <v>11</v>
      </c>
      <c r="AF1363" t="n">
        <v>4</v>
      </c>
      <c r="AG1363" t="n">
        <v>4</v>
      </c>
      <c r="AH1363" t="n">
        <v>3</v>
      </c>
      <c r="AI1363" t="n">
        <v>3</v>
      </c>
      <c r="AJ1363" t="n">
        <v>7</v>
      </c>
      <c r="AK1363" t="n">
        <v>7</v>
      </c>
      <c r="AL1363" t="n">
        <v>2</v>
      </c>
      <c r="AM1363" t="n">
        <v>2</v>
      </c>
      <c r="AN1363" t="n">
        <v>0</v>
      </c>
      <c r="AO1363" t="n">
        <v>0</v>
      </c>
      <c r="AP1363" t="inlineStr">
        <is>
          <t>No</t>
        </is>
      </c>
      <c r="AQ1363" t="inlineStr">
        <is>
          <t>No</t>
        </is>
      </c>
      <c r="AS1363">
        <f>HYPERLINK("https://creighton-primo.hosted.exlibrisgroup.com/primo-explore/search?tab=default_tab&amp;search_scope=EVERYTHING&amp;vid=01CRU&amp;lang=en_US&amp;offset=0&amp;query=any,contains,991004243039702656","Catalog Record")</f>
        <v/>
      </c>
      <c r="AT1363">
        <f>HYPERLINK("http://www.worldcat.org/oclc/42876579","WorldCat Record")</f>
        <v/>
      </c>
      <c r="AU1363" t="inlineStr">
        <is>
          <t>1152085600:eng</t>
        </is>
      </c>
      <c r="AV1363" t="inlineStr">
        <is>
          <t>42876579</t>
        </is>
      </c>
      <c r="AW1363" t="inlineStr">
        <is>
          <t>991004243039702656</t>
        </is>
      </c>
      <c r="AX1363" t="inlineStr">
        <is>
          <t>991004243039702656</t>
        </is>
      </c>
      <c r="AY1363" t="inlineStr">
        <is>
          <t>2260848020002656</t>
        </is>
      </c>
      <c r="AZ1363" t="inlineStr">
        <is>
          <t>BOOK</t>
        </is>
      </c>
      <c r="BB1363" t="inlineStr">
        <is>
          <t>9783527288960</t>
        </is>
      </c>
      <c r="BC1363" t="inlineStr">
        <is>
          <t>32285004903018</t>
        </is>
      </c>
      <c r="BD1363" t="inlineStr">
        <is>
          <t>893882237</t>
        </is>
      </c>
    </row>
    <row r="1364">
      <c r="A1364" t="inlineStr">
        <is>
          <t>No</t>
        </is>
      </c>
      <c r="B1364" t="inlineStr">
        <is>
          <t>QD96.I5 P67 1975</t>
        </is>
      </c>
      <c r="C1364" t="inlineStr">
        <is>
          <t>0                      QD 0096000I  5                  P  67          1975</t>
        </is>
      </c>
      <c r="D1364" t="inlineStr">
        <is>
          <t>The Aldrich library of infrared spectra / Charles J. Pouchert.</t>
        </is>
      </c>
      <c r="F1364" t="inlineStr">
        <is>
          <t>No</t>
        </is>
      </c>
      <c r="G1364" t="inlineStr">
        <is>
          <t>1</t>
        </is>
      </c>
      <c r="H1364" t="inlineStr">
        <is>
          <t>No</t>
        </is>
      </c>
      <c r="I1364" t="inlineStr">
        <is>
          <t>No</t>
        </is>
      </c>
      <c r="J1364" t="inlineStr">
        <is>
          <t>0</t>
        </is>
      </c>
      <c r="K1364" t="inlineStr">
        <is>
          <t>Pouchert, Charles J.</t>
        </is>
      </c>
      <c r="L1364" t="inlineStr">
        <is>
          <t>Milwaukee : Aldrich Chemical Co., c1975.</t>
        </is>
      </c>
      <c r="M1364" t="inlineStr">
        <is>
          <t>1975</t>
        </is>
      </c>
      <c r="N1364" t="inlineStr">
        <is>
          <t>2d ed.</t>
        </is>
      </c>
      <c r="O1364" t="inlineStr">
        <is>
          <t>eng</t>
        </is>
      </c>
      <c r="P1364" t="inlineStr">
        <is>
          <t>wiu</t>
        </is>
      </c>
      <c r="R1364" t="inlineStr">
        <is>
          <t xml:space="preserve">QD </t>
        </is>
      </c>
      <c r="S1364" t="n">
        <v>22</v>
      </c>
      <c r="T1364" t="n">
        <v>22</v>
      </c>
      <c r="U1364" t="inlineStr">
        <is>
          <t>1997-10-10</t>
        </is>
      </c>
      <c r="V1364" t="inlineStr">
        <is>
          <t>1997-10-10</t>
        </is>
      </c>
      <c r="W1364" t="inlineStr">
        <is>
          <t>1992-03-18</t>
        </is>
      </c>
      <c r="X1364" t="inlineStr">
        <is>
          <t>1992-03-18</t>
        </is>
      </c>
      <c r="Y1364" t="n">
        <v>324</v>
      </c>
      <c r="Z1364" t="n">
        <v>252</v>
      </c>
      <c r="AA1364" t="n">
        <v>257</v>
      </c>
      <c r="AB1364" t="n">
        <v>4</v>
      </c>
      <c r="AC1364" t="n">
        <v>4</v>
      </c>
      <c r="AD1364" t="n">
        <v>6</v>
      </c>
      <c r="AE1364" t="n">
        <v>7</v>
      </c>
      <c r="AF1364" t="n">
        <v>1</v>
      </c>
      <c r="AG1364" t="n">
        <v>2</v>
      </c>
      <c r="AH1364" t="n">
        <v>1</v>
      </c>
      <c r="AI1364" t="n">
        <v>1</v>
      </c>
      <c r="AJ1364" t="n">
        <v>2</v>
      </c>
      <c r="AK1364" t="n">
        <v>3</v>
      </c>
      <c r="AL1364" t="n">
        <v>3</v>
      </c>
      <c r="AM1364" t="n">
        <v>3</v>
      </c>
      <c r="AN1364" t="n">
        <v>0</v>
      </c>
      <c r="AO1364" t="n">
        <v>0</v>
      </c>
      <c r="AP1364" t="inlineStr">
        <is>
          <t>No</t>
        </is>
      </c>
      <c r="AQ1364" t="inlineStr">
        <is>
          <t>Yes</t>
        </is>
      </c>
      <c r="AR1364">
        <f>HYPERLINK("http://catalog.hathitrust.org/Record/000029938","HathiTrust Record")</f>
        <v/>
      </c>
      <c r="AS1364">
        <f>HYPERLINK("https://creighton-primo.hosted.exlibrisgroup.com/primo-explore/search?tab=default_tab&amp;search_scope=EVERYTHING&amp;vid=01CRU&amp;lang=en_US&amp;offset=0&amp;query=any,contains,991003769349702656","Catalog Record")</f>
        <v/>
      </c>
      <c r="AT1364">
        <f>HYPERLINK("http://www.worldcat.org/oclc/1466883","WorldCat Record")</f>
        <v/>
      </c>
      <c r="AU1364" t="inlineStr">
        <is>
          <t>2061997484:eng</t>
        </is>
      </c>
      <c r="AV1364" t="inlineStr">
        <is>
          <t>1466883</t>
        </is>
      </c>
      <c r="AW1364" t="inlineStr">
        <is>
          <t>991003769349702656</t>
        </is>
      </c>
      <c r="AX1364" t="inlineStr">
        <is>
          <t>991003769349702656</t>
        </is>
      </c>
      <c r="AY1364" t="inlineStr">
        <is>
          <t>2258411210002656</t>
        </is>
      </c>
      <c r="AZ1364" t="inlineStr">
        <is>
          <t>BOOK</t>
        </is>
      </c>
      <c r="BC1364" t="inlineStr">
        <is>
          <t>32285001005890</t>
        </is>
      </c>
      <c r="BD1364" t="inlineStr">
        <is>
          <t>893505973</t>
        </is>
      </c>
    </row>
    <row r="1365">
      <c r="A1365" t="inlineStr">
        <is>
          <t>No</t>
        </is>
      </c>
      <c r="B1365" t="inlineStr">
        <is>
          <t>QD96.I5 P73 1990</t>
        </is>
      </c>
      <c r="C1365" t="inlineStr">
        <is>
          <t>0                      QD 0096000I  5                  P  73          1990</t>
        </is>
      </c>
      <c r="D1365" t="inlineStr">
        <is>
          <t>Practical Fourier transform infrared spectroscopy : industrial and laboratory chemical analysis / edited by John R. Ferraro, K. Krishnan.</t>
        </is>
      </c>
      <c r="F1365" t="inlineStr">
        <is>
          <t>No</t>
        </is>
      </c>
      <c r="G1365" t="inlineStr">
        <is>
          <t>1</t>
        </is>
      </c>
      <c r="H1365" t="inlineStr">
        <is>
          <t>No</t>
        </is>
      </c>
      <c r="I1365" t="inlineStr">
        <is>
          <t>No</t>
        </is>
      </c>
      <c r="J1365" t="inlineStr">
        <is>
          <t>0</t>
        </is>
      </c>
      <c r="L1365" t="inlineStr">
        <is>
          <t>San Diego : Academic Press, 1990.</t>
        </is>
      </c>
      <c r="M1365" t="inlineStr">
        <is>
          <t>1990</t>
        </is>
      </c>
      <c r="O1365" t="inlineStr">
        <is>
          <t>eng</t>
        </is>
      </c>
      <c r="P1365" t="inlineStr">
        <is>
          <t>cau</t>
        </is>
      </c>
      <c r="R1365" t="inlineStr">
        <is>
          <t xml:space="preserve">QD </t>
        </is>
      </c>
      <c r="S1365" t="n">
        <v>8</v>
      </c>
      <c r="T1365" t="n">
        <v>8</v>
      </c>
      <c r="U1365" t="inlineStr">
        <is>
          <t>1999-03-03</t>
        </is>
      </c>
      <c r="V1365" t="inlineStr">
        <is>
          <t>1999-03-03</t>
        </is>
      </c>
      <c r="W1365" t="inlineStr">
        <is>
          <t>1990-06-21</t>
        </is>
      </c>
      <c r="X1365" t="inlineStr">
        <is>
          <t>1990-06-21</t>
        </is>
      </c>
      <c r="Y1365" t="n">
        <v>303</v>
      </c>
      <c r="Z1365" t="n">
        <v>238</v>
      </c>
      <c r="AA1365" t="n">
        <v>278</v>
      </c>
      <c r="AB1365" t="n">
        <v>4</v>
      </c>
      <c r="AC1365" t="n">
        <v>4</v>
      </c>
      <c r="AD1365" t="n">
        <v>11</v>
      </c>
      <c r="AE1365" t="n">
        <v>13</v>
      </c>
      <c r="AF1365" t="n">
        <v>2</v>
      </c>
      <c r="AG1365" t="n">
        <v>4</v>
      </c>
      <c r="AH1365" t="n">
        <v>4</v>
      </c>
      <c r="AI1365" t="n">
        <v>5</v>
      </c>
      <c r="AJ1365" t="n">
        <v>5</v>
      </c>
      <c r="AK1365" t="n">
        <v>5</v>
      </c>
      <c r="AL1365" t="n">
        <v>3</v>
      </c>
      <c r="AM1365" t="n">
        <v>3</v>
      </c>
      <c r="AN1365" t="n">
        <v>0</v>
      </c>
      <c r="AO1365" t="n">
        <v>0</v>
      </c>
      <c r="AP1365" t="inlineStr">
        <is>
          <t>No</t>
        </is>
      </c>
      <c r="AQ1365" t="inlineStr">
        <is>
          <t>Yes</t>
        </is>
      </c>
      <c r="AR1365">
        <f>HYPERLINK("http://catalog.hathitrust.org/Record/001831926","HathiTrust Record")</f>
        <v/>
      </c>
      <c r="AS1365">
        <f>HYPERLINK("https://creighton-primo.hosted.exlibrisgroup.com/primo-explore/search?tab=default_tab&amp;search_scope=EVERYTHING&amp;vid=01CRU&amp;lang=en_US&amp;offset=0&amp;query=any,contains,991001466489702656","Catalog Record")</f>
        <v/>
      </c>
      <c r="AT1365">
        <f>HYPERLINK("http://www.worldcat.org/oclc/19512722","WorldCat Record")</f>
        <v/>
      </c>
      <c r="AU1365" t="inlineStr">
        <is>
          <t>365424437:eng</t>
        </is>
      </c>
      <c r="AV1365" t="inlineStr">
        <is>
          <t>19512722</t>
        </is>
      </c>
      <c r="AW1365" t="inlineStr">
        <is>
          <t>991001466489702656</t>
        </is>
      </c>
      <c r="AX1365" t="inlineStr">
        <is>
          <t>991001466489702656</t>
        </is>
      </c>
      <c r="AY1365" t="inlineStr">
        <is>
          <t>2256453420002656</t>
        </is>
      </c>
      <c r="AZ1365" t="inlineStr">
        <is>
          <t>BOOK</t>
        </is>
      </c>
      <c r="BB1365" t="inlineStr">
        <is>
          <t>9780122541254</t>
        </is>
      </c>
      <c r="BC1365" t="inlineStr">
        <is>
          <t>32285000179126</t>
        </is>
      </c>
      <c r="BD1365" t="inlineStr">
        <is>
          <t>893797598</t>
        </is>
      </c>
    </row>
    <row r="1366">
      <c r="A1366" t="inlineStr">
        <is>
          <t>No</t>
        </is>
      </c>
      <c r="B1366" t="inlineStr">
        <is>
          <t>QD96.I5 S583 1999</t>
        </is>
      </c>
      <c r="C1366" t="inlineStr">
        <is>
          <t>0                      QD 0096000I  5                  S  583         1999</t>
        </is>
      </c>
      <c r="D1366" t="inlineStr">
        <is>
          <t>Infrared spectral interpretation : a systematic approach / Brian Smith.</t>
        </is>
      </c>
      <c r="F1366" t="inlineStr">
        <is>
          <t>No</t>
        </is>
      </c>
      <c r="G1366" t="inlineStr">
        <is>
          <t>1</t>
        </is>
      </c>
      <c r="H1366" t="inlineStr">
        <is>
          <t>No</t>
        </is>
      </c>
      <c r="I1366" t="inlineStr">
        <is>
          <t>No</t>
        </is>
      </c>
      <c r="J1366" t="inlineStr">
        <is>
          <t>0</t>
        </is>
      </c>
      <c r="K1366" t="inlineStr">
        <is>
          <t>Smith, Brian C.</t>
        </is>
      </c>
      <c r="L1366" t="inlineStr">
        <is>
          <t>Boca Raton : CRC Press, c1999.</t>
        </is>
      </c>
      <c r="M1366" t="inlineStr">
        <is>
          <t>1999</t>
        </is>
      </c>
      <c r="O1366" t="inlineStr">
        <is>
          <t>eng</t>
        </is>
      </c>
      <c r="P1366" t="inlineStr">
        <is>
          <t>flu</t>
        </is>
      </c>
      <c r="R1366" t="inlineStr">
        <is>
          <t xml:space="preserve">QD </t>
        </is>
      </c>
      <c r="S1366" t="n">
        <v>7</v>
      </c>
      <c r="T1366" t="n">
        <v>7</v>
      </c>
      <c r="U1366" t="inlineStr">
        <is>
          <t>2010-10-14</t>
        </is>
      </c>
      <c r="V1366" t="inlineStr">
        <is>
          <t>2010-10-14</t>
        </is>
      </c>
      <c r="W1366" t="inlineStr">
        <is>
          <t>2000-08-09</t>
        </is>
      </c>
      <c r="X1366" t="inlineStr">
        <is>
          <t>2000-08-09</t>
        </is>
      </c>
      <c r="Y1366" t="n">
        <v>546</v>
      </c>
      <c r="Z1366" t="n">
        <v>423</v>
      </c>
      <c r="AA1366" t="n">
        <v>445</v>
      </c>
      <c r="AB1366" t="n">
        <v>4</v>
      </c>
      <c r="AC1366" t="n">
        <v>4</v>
      </c>
      <c r="AD1366" t="n">
        <v>22</v>
      </c>
      <c r="AE1366" t="n">
        <v>23</v>
      </c>
      <c r="AF1366" t="n">
        <v>8</v>
      </c>
      <c r="AG1366" t="n">
        <v>9</v>
      </c>
      <c r="AH1366" t="n">
        <v>4</v>
      </c>
      <c r="AI1366" t="n">
        <v>4</v>
      </c>
      <c r="AJ1366" t="n">
        <v>12</v>
      </c>
      <c r="AK1366" t="n">
        <v>13</v>
      </c>
      <c r="AL1366" t="n">
        <v>3</v>
      </c>
      <c r="AM1366" t="n">
        <v>3</v>
      </c>
      <c r="AN1366" t="n">
        <v>0</v>
      </c>
      <c r="AO1366" t="n">
        <v>0</v>
      </c>
      <c r="AP1366" t="inlineStr">
        <is>
          <t>No</t>
        </is>
      </c>
      <c r="AQ1366" t="inlineStr">
        <is>
          <t>No</t>
        </is>
      </c>
      <c r="AS1366">
        <f>HYPERLINK("https://creighton-primo.hosted.exlibrisgroup.com/primo-explore/search?tab=default_tab&amp;search_scope=EVERYTHING&amp;vid=01CRU&amp;lang=en_US&amp;offset=0&amp;query=any,contains,991003255369702656","Catalog Record")</f>
        <v/>
      </c>
      <c r="AT1366">
        <f>HYPERLINK("http://www.worldcat.org/oclc/39763821","WorldCat Record")</f>
        <v/>
      </c>
      <c r="AU1366" t="inlineStr">
        <is>
          <t>795167869:eng</t>
        </is>
      </c>
      <c r="AV1366" t="inlineStr">
        <is>
          <t>39763821</t>
        </is>
      </c>
      <c r="AW1366" t="inlineStr">
        <is>
          <t>991003255369702656</t>
        </is>
      </c>
      <c r="AX1366" t="inlineStr">
        <is>
          <t>991003255369702656</t>
        </is>
      </c>
      <c r="AY1366" t="inlineStr">
        <is>
          <t>2266009760002656</t>
        </is>
      </c>
      <c r="AZ1366" t="inlineStr">
        <is>
          <t>BOOK</t>
        </is>
      </c>
      <c r="BB1366" t="inlineStr">
        <is>
          <t>9780849324635</t>
        </is>
      </c>
      <c r="BC1366" t="inlineStr">
        <is>
          <t>32285003756946</t>
        </is>
      </c>
      <c r="BD1366" t="inlineStr">
        <is>
          <t>893604586</t>
        </is>
      </c>
    </row>
    <row r="1367">
      <c r="A1367" t="inlineStr">
        <is>
          <t>No</t>
        </is>
      </c>
      <c r="B1367" t="inlineStr">
        <is>
          <t>QD96.L3 M46 1995</t>
        </is>
      </c>
      <c r="C1367" t="inlineStr">
        <is>
          <t>0                      QD 0096000L  3                  M  46          1995</t>
        </is>
      </c>
      <c r="D1367" t="inlineStr">
        <is>
          <t>Laser spectroscopy : techniques and applications / E. Roland Menzel.</t>
        </is>
      </c>
      <c r="F1367" t="inlineStr">
        <is>
          <t>No</t>
        </is>
      </c>
      <c r="G1367" t="inlineStr">
        <is>
          <t>1</t>
        </is>
      </c>
      <c r="H1367" t="inlineStr">
        <is>
          <t>No</t>
        </is>
      </c>
      <c r="I1367" t="inlineStr">
        <is>
          <t>No</t>
        </is>
      </c>
      <c r="J1367" t="inlineStr">
        <is>
          <t>0</t>
        </is>
      </c>
      <c r="K1367" t="inlineStr">
        <is>
          <t>Menzel, E. Roland, 1943-</t>
        </is>
      </c>
      <c r="L1367" t="inlineStr">
        <is>
          <t>New York : Dekker, 1995.</t>
        </is>
      </c>
      <c r="M1367" t="inlineStr">
        <is>
          <t>1995</t>
        </is>
      </c>
      <c r="O1367" t="inlineStr">
        <is>
          <t>eng</t>
        </is>
      </c>
      <c r="P1367" t="inlineStr">
        <is>
          <t>nyu</t>
        </is>
      </c>
      <c r="Q1367" t="inlineStr">
        <is>
          <t>Practical spectroscopy series ; v. 18</t>
        </is>
      </c>
      <c r="R1367" t="inlineStr">
        <is>
          <t xml:space="preserve">QD </t>
        </is>
      </c>
      <c r="S1367" t="n">
        <v>8</v>
      </c>
      <c r="T1367" t="n">
        <v>8</v>
      </c>
      <c r="U1367" t="inlineStr">
        <is>
          <t>2009-04-30</t>
        </is>
      </c>
      <c r="V1367" t="inlineStr">
        <is>
          <t>2009-04-30</t>
        </is>
      </c>
      <c r="W1367" t="inlineStr">
        <is>
          <t>1994-10-31</t>
        </is>
      </c>
      <c r="X1367" t="inlineStr">
        <is>
          <t>1994-10-31</t>
        </is>
      </c>
      <c r="Y1367" t="n">
        <v>238</v>
      </c>
      <c r="Z1367" t="n">
        <v>186</v>
      </c>
      <c r="AA1367" t="n">
        <v>189</v>
      </c>
      <c r="AB1367" t="n">
        <v>1</v>
      </c>
      <c r="AC1367" t="n">
        <v>1</v>
      </c>
      <c r="AD1367" t="n">
        <v>9</v>
      </c>
      <c r="AE1367" t="n">
        <v>9</v>
      </c>
      <c r="AF1367" t="n">
        <v>3</v>
      </c>
      <c r="AG1367" t="n">
        <v>3</v>
      </c>
      <c r="AH1367" t="n">
        <v>2</v>
      </c>
      <c r="AI1367" t="n">
        <v>2</v>
      </c>
      <c r="AJ1367" t="n">
        <v>8</v>
      </c>
      <c r="AK1367" t="n">
        <v>8</v>
      </c>
      <c r="AL1367" t="n">
        <v>0</v>
      </c>
      <c r="AM1367" t="n">
        <v>0</v>
      </c>
      <c r="AN1367" t="n">
        <v>0</v>
      </c>
      <c r="AO1367" t="n">
        <v>0</v>
      </c>
      <c r="AP1367" t="inlineStr">
        <is>
          <t>No</t>
        </is>
      </c>
      <c r="AQ1367" t="inlineStr">
        <is>
          <t>No</t>
        </is>
      </c>
      <c r="AS1367">
        <f>HYPERLINK("https://creighton-primo.hosted.exlibrisgroup.com/primo-explore/search?tab=default_tab&amp;search_scope=EVERYTHING&amp;vid=01CRU&amp;lang=en_US&amp;offset=0&amp;query=any,contains,991002371479702656","Catalog Record")</f>
        <v/>
      </c>
      <c r="AT1367">
        <f>HYPERLINK("http://www.worldcat.org/oclc/30816373","WorldCat Record")</f>
        <v/>
      </c>
      <c r="AU1367" t="inlineStr">
        <is>
          <t>32783804:eng</t>
        </is>
      </c>
      <c r="AV1367" t="inlineStr">
        <is>
          <t>30816373</t>
        </is>
      </c>
      <c r="AW1367" t="inlineStr">
        <is>
          <t>991002371479702656</t>
        </is>
      </c>
      <c r="AX1367" t="inlineStr">
        <is>
          <t>991002371479702656</t>
        </is>
      </c>
      <c r="AY1367" t="inlineStr">
        <is>
          <t>2262879510002656</t>
        </is>
      </c>
      <c r="AZ1367" t="inlineStr">
        <is>
          <t>BOOK</t>
        </is>
      </c>
      <c r="BB1367" t="inlineStr">
        <is>
          <t>9780824792657</t>
        </is>
      </c>
      <c r="BC1367" t="inlineStr">
        <is>
          <t>32285001955706</t>
        </is>
      </c>
      <c r="BD1367" t="inlineStr">
        <is>
          <t>893622208</t>
        </is>
      </c>
    </row>
    <row r="1368">
      <c r="A1368" t="inlineStr">
        <is>
          <t>No</t>
        </is>
      </c>
      <c r="B1368" t="inlineStr">
        <is>
          <t>QD96.M3 C6413 1990</t>
        </is>
      </c>
      <c r="C1368" t="inlineStr">
        <is>
          <t>0                      QD 0096000M  3                  C  6413        1990</t>
        </is>
      </c>
      <c r="D1368" t="inlineStr">
        <is>
          <t>Mass spectrometry / E. Constantin, A. Schnell ; translator, M.H. Chalmers ; translation edited and revised by R.A. Chalmers, A. Pape.</t>
        </is>
      </c>
      <c r="F1368" t="inlineStr">
        <is>
          <t>No</t>
        </is>
      </c>
      <c r="G1368" t="inlineStr">
        <is>
          <t>1</t>
        </is>
      </c>
      <c r="H1368" t="inlineStr">
        <is>
          <t>No</t>
        </is>
      </c>
      <c r="I1368" t="inlineStr">
        <is>
          <t>No</t>
        </is>
      </c>
      <c r="J1368" t="inlineStr">
        <is>
          <t>0</t>
        </is>
      </c>
      <c r="K1368" t="inlineStr">
        <is>
          <t>Constantin, E.</t>
        </is>
      </c>
      <c r="L1368" t="inlineStr">
        <is>
          <t>New York : Ellis Horwood, 1990.</t>
        </is>
      </c>
      <c r="M1368" t="inlineStr">
        <is>
          <t>1990</t>
        </is>
      </c>
      <c r="O1368" t="inlineStr">
        <is>
          <t>eng</t>
        </is>
      </c>
      <c r="P1368" t="inlineStr">
        <is>
          <t>nyu</t>
        </is>
      </c>
      <c r="Q1368" t="inlineStr">
        <is>
          <t>Ellis Horwood series in analytical chemistry</t>
        </is>
      </c>
      <c r="R1368" t="inlineStr">
        <is>
          <t xml:space="preserve">QD </t>
        </is>
      </c>
      <c r="S1368" t="n">
        <v>15</v>
      </c>
      <c r="T1368" t="n">
        <v>15</v>
      </c>
      <c r="U1368" t="inlineStr">
        <is>
          <t>2002-11-24</t>
        </is>
      </c>
      <c r="V1368" t="inlineStr">
        <is>
          <t>2002-11-24</t>
        </is>
      </c>
      <c r="W1368" t="inlineStr">
        <is>
          <t>1991-05-13</t>
        </is>
      </c>
      <c r="X1368" t="inlineStr">
        <is>
          <t>1991-05-13</t>
        </is>
      </c>
      <c r="Y1368" t="n">
        <v>288</v>
      </c>
      <c r="Z1368" t="n">
        <v>231</v>
      </c>
      <c r="AA1368" t="n">
        <v>240</v>
      </c>
      <c r="AB1368" t="n">
        <v>4</v>
      </c>
      <c r="AC1368" t="n">
        <v>4</v>
      </c>
      <c r="AD1368" t="n">
        <v>13</v>
      </c>
      <c r="AE1368" t="n">
        <v>13</v>
      </c>
      <c r="AF1368" t="n">
        <v>5</v>
      </c>
      <c r="AG1368" t="n">
        <v>5</v>
      </c>
      <c r="AH1368" t="n">
        <v>3</v>
      </c>
      <c r="AI1368" t="n">
        <v>3</v>
      </c>
      <c r="AJ1368" t="n">
        <v>5</v>
      </c>
      <c r="AK1368" t="n">
        <v>5</v>
      </c>
      <c r="AL1368" t="n">
        <v>3</v>
      </c>
      <c r="AM1368" t="n">
        <v>3</v>
      </c>
      <c r="AN1368" t="n">
        <v>0</v>
      </c>
      <c r="AO1368" t="n">
        <v>0</v>
      </c>
      <c r="AP1368" t="inlineStr">
        <is>
          <t>No</t>
        </is>
      </c>
      <c r="AQ1368" t="inlineStr">
        <is>
          <t>Yes</t>
        </is>
      </c>
      <c r="AR1368">
        <f>HYPERLINK("http://catalog.hathitrust.org/Record/002574633","HathiTrust Record")</f>
        <v/>
      </c>
      <c r="AS1368">
        <f>HYPERLINK("https://creighton-primo.hosted.exlibrisgroup.com/primo-explore/search?tab=default_tab&amp;search_scope=EVERYTHING&amp;vid=01CRU&amp;lang=en_US&amp;offset=0&amp;query=any,contains,991001728349702656","Catalog Record")</f>
        <v/>
      </c>
      <c r="AT1368">
        <f>HYPERLINK("http://www.worldcat.org/oclc/21907024","WorldCat Record")</f>
        <v/>
      </c>
      <c r="AU1368" t="inlineStr">
        <is>
          <t>22985017:eng</t>
        </is>
      </c>
      <c r="AV1368" t="inlineStr">
        <is>
          <t>21907024</t>
        </is>
      </c>
      <c r="AW1368" t="inlineStr">
        <is>
          <t>991001728349702656</t>
        </is>
      </c>
      <c r="AX1368" t="inlineStr">
        <is>
          <t>991001728349702656</t>
        </is>
      </c>
      <c r="AY1368" t="inlineStr">
        <is>
          <t>2272594720002656</t>
        </is>
      </c>
      <c r="AZ1368" t="inlineStr">
        <is>
          <t>BOOK</t>
        </is>
      </c>
      <c r="BC1368" t="inlineStr">
        <is>
          <t>32285000572213</t>
        </is>
      </c>
      <c r="BD1368" t="inlineStr">
        <is>
          <t>893232206</t>
        </is>
      </c>
    </row>
    <row r="1369">
      <c r="A1369" t="inlineStr">
        <is>
          <t>No</t>
        </is>
      </c>
      <c r="B1369" t="inlineStr">
        <is>
          <t>QD96.M3 H53</t>
        </is>
      </c>
      <c r="C1369" t="inlineStr">
        <is>
          <t>0                      QD 0096000M  3                  H  53</t>
        </is>
      </c>
      <c r="D1369" t="inlineStr">
        <is>
          <t>High performance mass spectrometry : chemical applications : a symposium / co-sponsored by the University of Nebraska-Lincoln ... [et al.] ; Michael L. Gross, editor.</t>
        </is>
      </c>
      <c r="F1369" t="inlineStr">
        <is>
          <t>No</t>
        </is>
      </c>
      <c r="G1369" t="inlineStr">
        <is>
          <t>1</t>
        </is>
      </c>
      <c r="H1369" t="inlineStr">
        <is>
          <t>No</t>
        </is>
      </c>
      <c r="I1369" t="inlineStr">
        <is>
          <t>No</t>
        </is>
      </c>
      <c r="J1369" t="inlineStr">
        <is>
          <t>0</t>
        </is>
      </c>
      <c r="L1369" t="inlineStr">
        <is>
          <t>Washington : American Chemical Society, 1978.</t>
        </is>
      </c>
      <c r="M1369" t="inlineStr">
        <is>
          <t>1978</t>
        </is>
      </c>
      <c r="O1369" t="inlineStr">
        <is>
          <t>eng</t>
        </is>
      </c>
      <c r="P1369" t="inlineStr">
        <is>
          <t>dcu</t>
        </is>
      </c>
      <c r="Q1369" t="inlineStr">
        <is>
          <t>ACS symposium series, 0097-6156 ; 70</t>
        </is>
      </c>
      <c r="R1369" t="inlineStr">
        <is>
          <t xml:space="preserve">QD </t>
        </is>
      </c>
      <c r="S1369" t="n">
        <v>3</v>
      </c>
      <c r="T1369" t="n">
        <v>3</v>
      </c>
      <c r="U1369" t="inlineStr">
        <is>
          <t>1999-01-06</t>
        </is>
      </c>
      <c r="V1369" t="inlineStr">
        <is>
          <t>1999-01-06</t>
        </is>
      </c>
      <c r="W1369" t="inlineStr">
        <is>
          <t>1993-01-22</t>
        </is>
      </c>
      <c r="X1369" t="inlineStr">
        <is>
          <t>1993-01-22</t>
        </is>
      </c>
      <c r="Y1369" t="n">
        <v>296</v>
      </c>
      <c r="Z1369" t="n">
        <v>233</v>
      </c>
      <c r="AA1369" t="n">
        <v>274</v>
      </c>
      <c r="AB1369" t="n">
        <v>4</v>
      </c>
      <c r="AC1369" t="n">
        <v>4</v>
      </c>
      <c r="AD1369" t="n">
        <v>7</v>
      </c>
      <c r="AE1369" t="n">
        <v>7</v>
      </c>
      <c r="AF1369" t="n">
        <v>2</v>
      </c>
      <c r="AG1369" t="n">
        <v>2</v>
      </c>
      <c r="AH1369" t="n">
        <v>2</v>
      </c>
      <c r="AI1369" t="n">
        <v>2</v>
      </c>
      <c r="AJ1369" t="n">
        <v>2</v>
      </c>
      <c r="AK1369" t="n">
        <v>2</v>
      </c>
      <c r="AL1369" t="n">
        <v>3</v>
      </c>
      <c r="AM1369" t="n">
        <v>3</v>
      </c>
      <c r="AN1369" t="n">
        <v>0</v>
      </c>
      <c r="AO1369" t="n">
        <v>0</v>
      </c>
      <c r="AP1369" t="inlineStr">
        <is>
          <t>No</t>
        </is>
      </c>
      <c r="AQ1369" t="inlineStr">
        <is>
          <t>Yes</t>
        </is>
      </c>
      <c r="AR1369">
        <f>HYPERLINK("http://catalog.hathitrust.org/Record/000092107","HathiTrust Record")</f>
        <v/>
      </c>
      <c r="AS1369">
        <f>HYPERLINK("https://creighton-primo.hosted.exlibrisgroup.com/primo-explore/search?tab=default_tab&amp;search_scope=EVERYTHING&amp;vid=01CRU&amp;lang=en_US&amp;offset=0&amp;query=any,contains,991004481069702656","Catalog Record")</f>
        <v/>
      </c>
      <c r="AT1369">
        <f>HYPERLINK("http://www.worldcat.org/oclc/3627512","WorldCat Record")</f>
        <v/>
      </c>
      <c r="AU1369" t="inlineStr">
        <is>
          <t>1088627269:eng</t>
        </is>
      </c>
      <c r="AV1369" t="inlineStr">
        <is>
          <t>3627512</t>
        </is>
      </c>
      <c r="AW1369" t="inlineStr">
        <is>
          <t>991004481069702656</t>
        </is>
      </c>
      <c r="AX1369" t="inlineStr">
        <is>
          <t>991004481069702656</t>
        </is>
      </c>
      <c r="AY1369" t="inlineStr">
        <is>
          <t>2269307180002656</t>
        </is>
      </c>
      <c r="AZ1369" t="inlineStr">
        <is>
          <t>BOOK</t>
        </is>
      </c>
      <c r="BB1369" t="inlineStr">
        <is>
          <t>9780841204225</t>
        </is>
      </c>
      <c r="BC1369" t="inlineStr">
        <is>
          <t>32285001515286</t>
        </is>
      </c>
      <c r="BD1369" t="inlineStr">
        <is>
          <t>893807125</t>
        </is>
      </c>
    </row>
    <row r="1370">
      <c r="A1370" t="inlineStr">
        <is>
          <t>No</t>
        </is>
      </c>
      <c r="B1370" t="inlineStr">
        <is>
          <t>QD96.M3 M43 2002</t>
        </is>
      </c>
      <c r="C1370" t="inlineStr">
        <is>
          <t>0                      QD 0096000M  3                  M  43          2002</t>
        </is>
      </c>
      <c r="D1370" t="inlineStr">
        <is>
          <t>Measuring mass : from positive rays to proteins / edited by Michael A. Grayson.</t>
        </is>
      </c>
      <c r="F1370" t="inlineStr">
        <is>
          <t>No</t>
        </is>
      </c>
      <c r="G1370" t="inlineStr">
        <is>
          <t>1</t>
        </is>
      </c>
      <c r="H1370" t="inlineStr">
        <is>
          <t>No</t>
        </is>
      </c>
      <c r="I1370" t="inlineStr">
        <is>
          <t>No</t>
        </is>
      </c>
      <c r="J1370" t="inlineStr">
        <is>
          <t>0</t>
        </is>
      </c>
      <c r="L1370" t="inlineStr">
        <is>
          <t>Philadelphia, PA : Chemical Heritage Press, c2002.</t>
        </is>
      </c>
      <c r="M1370" t="inlineStr">
        <is>
          <t>2002</t>
        </is>
      </c>
      <c r="O1370" t="inlineStr">
        <is>
          <t>eng</t>
        </is>
      </c>
      <c r="P1370" t="inlineStr">
        <is>
          <t>pau</t>
        </is>
      </c>
      <c r="R1370" t="inlineStr">
        <is>
          <t xml:space="preserve">QD </t>
        </is>
      </c>
      <c r="S1370" t="n">
        <v>2</v>
      </c>
      <c r="T1370" t="n">
        <v>2</v>
      </c>
      <c r="U1370" t="inlineStr">
        <is>
          <t>2009-03-20</t>
        </is>
      </c>
      <c r="V1370" t="inlineStr">
        <is>
          <t>2009-03-20</t>
        </is>
      </c>
      <c r="W1370" t="inlineStr">
        <is>
          <t>2003-03-26</t>
        </is>
      </c>
      <c r="X1370" t="inlineStr">
        <is>
          <t>2003-03-26</t>
        </is>
      </c>
      <c r="Y1370" t="n">
        <v>338</v>
      </c>
      <c r="Z1370" t="n">
        <v>302</v>
      </c>
      <c r="AA1370" t="n">
        <v>305</v>
      </c>
      <c r="AB1370" t="n">
        <v>2</v>
      </c>
      <c r="AC1370" t="n">
        <v>2</v>
      </c>
      <c r="AD1370" t="n">
        <v>17</v>
      </c>
      <c r="AE1370" t="n">
        <v>17</v>
      </c>
      <c r="AF1370" t="n">
        <v>8</v>
      </c>
      <c r="AG1370" t="n">
        <v>8</v>
      </c>
      <c r="AH1370" t="n">
        <v>3</v>
      </c>
      <c r="AI1370" t="n">
        <v>3</v>
      </c>
      <c r="AJ1370" t="n">
        <v>11</v>
      </c>
      <c r="AK1370" t="n">
        <v>11</v>
      </c>
      <c r="AL1370" t="n">
        <v>1</v>
      </c>
      <c r="AM1370" t="n">
        <v>1</v>
      </c>
      <c r="AN1370" t="n">
        <v>0</v>
      </c>
      <c r="AO1370" t="n">
        <v>0</v>
      </c>
      <c r="AP1370" t="inlineStr">
        <is>
          <t>No</t>
        </is>
      </c>
      <c r="AQ1370" t="inlineStr">
        <is>
          <t>No</t>
        </is>
      </c>
      <c r="AS1370">
        <f>HYPERLINK("https://creighton-primo.hosted.exlibrisgroup.com/primo-explore/search?tab=default_tab&amp;search_scope=EVERYTHING&amp;vid=01CRU&amp;lang=en_US&amp;offset=0&amp;query=any,contains,991003999339702656","Catalog Record")</f>
        <v/>
      </c>
      <c r="AT1370">
        <f>HYPERLINK("http://www.worldcat.org/oclc/48507794","WorldCat Record")</f>
        <v/>
      </c>
      <c r="AU1370" t="inlineStr">
        <is>
          <t>1083260:eng</t>
        </is>
      </c>
      <c r="AV1370" t="inlineStr">
        <is>
          <t>48507794</t>
        </is>
      </c>
      <c r="AW1370" t="inlineStr">
        <is>
          <t>991003999339702656</t>
        </is>
      </c>
      <c r="AX1370" t="inlineStr">
        <is>
          <t>991003999339702656</t>
        </is>
      </c>
      <c r="AY1370" t="inlineStr">
        <is>
          <t>2267797230002656</t>
        </is>
      </c>
      <c r="AZ1370" t="inlineStr">
        <is>
          <t>BOOK</t>
        </is>
      </c>
      <c r="BB1370" t="inlineStr">
        <is>
          <t>9780941901314</t>
        </is>
      </c>
      <c r="BC1370" t="inlineStr">
        <is>
          <t>32285004686894</t>
        </is>
      </c>
      <c r="BD1370" t="inlineStr">
        <is>
          <t>893512671</t>
        </is>
      </c>
    </row>
    <row r="1371">
      <c r="A1371" t="inlineStr">
        <is>
          <t>No</t>
        </is>
      </c>
      <c r="B1371" t="inlineStr">
        <is>
          <t>QD96.M3 R67 1996</t>
        </is>
      </c>
      <c r="C1371" t="inlineStr">
        <is>
          <t>0                      QD 0096000M  3                  R  67          1996</t>
        </is>
      </c>
      <c r="D1371" t="inlineStr">
        <is>
          <t>Mass spectrometry for chemists and biochemists / Robert A.W. Johnstone and Malcolm E. Rose.</t>
        </is>
      </c>
      <c r="F1371" t="inlineStr">
        <is>
          <t>No</t>
        </is>
      </c>
      <c r="G1371" t="inlineStr">
        <is>
          <t>1</t>
        </is>
      </c>
      <c r="H1371" t="inlineStr">
        <is>
          <t>No</t>
        </is>
      </c>
      <c r="I1371" t="inlineStr">
        <is>
          <t>No</t>
        </is>
      </c>
      <c r="J1371" t="inlineStr">
        <is>
          <t>0</t>
        </is>
      </c>
      <c r="K1371" t="inlineStr">
        <is>
          <t>Johnstone, R. A. W. (Robert Alexander Walker)</t>
        </is>
      </c>
      <c r="L1371" t="inlineStr">
        <is>
          <t>Cambridge ; New York, NY, USA : Cambridge University Press, 1996.</t>
        </is>
      </c>
      <c r="M1371" t="inlineStr">
        <is>
          <t>1996</t>
        </is>
      </c>
      <c r="N1371" t="inlineStr">
        <is>
          <t>2nd ed.</t>
        </is>
      </c>
      <c r="O1371" t="inlineStr">
        <is>
          <t>eng</t>
        </is>
      </c>
      <c r="P1371" t="inlineStr">
        <is>
          <t>enk</t>
        </is>
      </c>
      <c r="R1371" t="inlineStr">
        <is>
          <t xml:space="preserve">QD </t>
        </is>
      </c>
      <c r="S1371" t="n">
        <v>19</v>
      </c>
      <c r="T1371" t="n">
        <v>19</v>
      </c>
      <c r="U1371" t="inlineStr">
        <is>
          <t>2003-03-04</t>
        </is>
      </c>
      <c r="V1371" t="inlineStr">
        <is>
          <t>2003-03-04</t>
        </is>
      </c>
      <c r="W1371" t="inlineStr">
        <is>
          <t>1997-02-20</t>
        </is>
      </c>
      <c r="X1371" t="inlineStr">
        <is>
          <t>1997-02-20</t>
        </is>
      </c>
      <c r="Y1371" t="n">
        <v>330</v>
      </c>
      <c r="Z1371" t="n">
        <v>210</v>
      </c>
      <c r="AA1371" t="n">
        <v>397</v>
      </c>
      <c r="AB1371" t="n">
        <v>2</v>
      </c>
      <c r="AC1371" t="n">
        <v>3</v>
      </c>
      <c r="AD1371" t="n">
        <v>9</v>
      </c>
      <c r="AE1371" t="n">
        <v>17</v>
      </c>
      <c r="AF1371" t="n">
        <v>2</v>
      </c>
      <c r="AG1371" t="n">
        <v>4</v>
      </c>
      <c r="AH1371" t="n">
        <v>3</v>
      </c>
      <c r="AI1371" t="n">
        <v>4</v>
      </c>
      <c r="AJ1371" t="n">
        <v>6</v>
      </c>
      <c r="AK1371" t="n">
        <v>11</v>
      </c>
      <c r="AL1371" t="n">
        <v>1</v>
      </c>
      <c r="AM1371" t="n">
        <v>2</v>
      </c>
      <c r="AN1371" t="n">
        <v>0</v>
      </c>
      <c r="AO1371" t="n">
        <v>0</v>
      </c>
      <c r="AP1371" t="inlineStr">
        <is>
          <t>No</t>
        </is>
      </c>
      <c r="AQ1371" t="inlineStr">
        <is>
          <t>No</t>
        </is>
      </c>
      <c r="AS1371">
        <f>HYPERLINK("https://creighton-primo.hosted.exlibrisgroup.com/primo-explore/search?tab=default_tab&amp;search_scope=EVERYTHING&amp;vid=01CRU&amp;lang=en_US&amp;offset=0&amp;query=any,contains,991005422399702656","Catalog Record")</f>
        <v/>
      </c>
      <c r="AT1371">
        <f>HYPERLINK("http://www.worldcat.org/oclc/33244438","WorldCat Record")</f>
        <v/>
      </c>
      <c r="AU1371" t="inlineStr">
        <is>
          <t>144156575:eng</t>
        </is>
      </c>
      <c r="AV1371" t="inlineStr">
        <is>
          <t>33244438</t>
        </is>
      </c>
      <c r="AW1371" t="inlineStr">
        <is>
          <t>991005422399702656</t>
        </is>
      </c>
      <c r="AX1371" t="inlineStr">
        <is>
          <t>991005422399702656</t>
        </is>
      </c>
      <c r="AY1371" t="inlineStr">
        <is>
          <t>2256157960002656</t>
        </is>
      </c>
      <c r="AZ1371" t="inlineStr">
        <is>
          <t>BOOK</t>
        </is>
      </c>
      <c r="BB1371" t="inlineStr">
        <is>
          <t>9780521414661</t>
        </is>
      </c>
      <c r="BC1371" t="inlineStr">
        <is>
          <t>32285002432127</t>
        </is>
      </c>
      <c r="BD1371" t="inlineStr">
        <is>
          <t>893326729</t>
        </is>
      </c>
    </row>
    <row r="1372">
      <c r="A1372" t="inlineStr">
        <is>
          <t>No</t>
        </is>
      </c>
      <c r="B1372" t="inlineStr">
        <is>
          <t>QD96.M65 C48 1991</t>
        </is>
      </c>
      <c r="C1372" t="inlineStr">
        <is>
          <t>0                      QD 0096000M  65                 C  48          1991</t>
        </is>
      </c>
      <c r="D1372" t="inlineStr">
        <is>
          <t>Semiclassical mechanics with molecular applications / by M.S. Child.</t>
        </is>
      </c>
      <c r="F1372" t="inlineStr">
        <is>
          <t>No</t>
        </is>
      </c>
      <c r="G1372" t="inlineStr">
        <is>
          <t>1</t>
        </is>
      </c>
      <c r="H1372" t="inlineStr">
        <is>
          <t>No</t>
        </is>
      </c>
      <c r="I1372" t="inlineStr">
        <is>
          <t>No</t>
        </is>
      </c>
      <c r="J1372" t="inlineStr">
        <is>
          <t>0</t>
        </is>
      </c>
      <c r="K1372" t="inlineStr">
        <is>
          <t>Child, M. S.</t>
        </is>
      </c>
      <c r="L1372" t="inlineStr">
        <is>
          <t>Oxford : Clarendon Press ; New York : Oxford University Press, c1991.</t>
        </is>
      </c>
      <c r="M1372" t="inlineStr">
        <is>
          <t>1991</t>
        </is>
      </c>
      <c r="O1372" t="inlineStr">
        <is>
          <t>eng</t>
        </is>
      </c>
      <c r="P1372" t="inlineStr">
        <is>
          <t>nyu</t>
        </is>
      </c>
      <c r="Q1372" t="inlineStr">
        <is>
          <t>International series of monographs on chemistry ; 25</t>
        </is>
      </c>
      <c r="R1372" t="inlineStr">
        <is>
          <t xml:space="preserve">QD </t>
        </is>
      </c>
      <c r="S1372" t="n">
        <v>1</v>
      </c>
      <c r="T1372" t="n">
        <v>1</v>
      </c>
      <c r="U1372" t="inlineStr">
        <is>
          <t>1995-01-23</t>
        </is>
      </c>
      <c r="V1372" t="inlineStr">
        <is>
          <t>1995-01-23</t>
        </is>
      </c>
      <c r="W1372" t="inlineStr">
        <is>
          <t>1992-05-08</t>
        </is>
      </c>
      <c r="X1372" t="inlineStr">
        <is>
          <t>1992-05-08</t>
        </is>
      </c>
      <c r="Y1372" t="n">
        <v>194</v>
      </c>
      <c r="Z1372" t="n">
        <v>125</v>
      </c>
      <c r="AA1372" t="n">
        <v>126</v>
      </c>
      <c r="AB1372" t="n">
        <v>3</v>
      </c>
      <c r="AC1372" t="n">
        <v>3</v>
      </c>
      <c r="AD1372" t="n">
        <v>7</v>
      </c>
      <c r="AE1372" t="n">
        <v>7</v>
      </c>
      <c r="AF1372" t="n">
        <v>0</v>
      </c>
      <c r="AG1372" t="n">
        <v>0</v>
      </c>
      <c r="AH1372" t="n">
        <v>1</v>
      </c>
      <c r="AI1372" t="n">
        <v>1</v>
      </c>
      <c r="AJ1372" t="n">
        <v>5</v>
      </c>
      <c r="AK1372" t="n">
        <v>5</v>
      </c>
      <c r="AL1372" t="n">
        <v>2</v>
      </c>
      <c r="AM1372" t="n">
        <v>2</v>
      </c>
      <c r="AN1372" t="n">
        <v>0</v>
      </c>
      <c r="AO1372" t="n">
        <v>0</v>
      </c>
      <c r="AP1372" t="inlineStr">
        <is>
          <t>No</t>
        </is>
      </c>
      <c r="AQ1372" t="inlineStr">
        <is>
          <t>Yes</t>
        </is>
      </c>
      <c r="AR1372">
        <f>HYPERLINK("http://catalog.hathitrust.org/Record/002512632","HathiTrust Record")</f>
        <v/>
      </c>
      <c r="AS1372">
        <f>HYPERLINK("https://creighton-primo.hosted.exlibrisgroup.com/primo-explore/search?tab=default_tab&amp;search_scope=EVERYTHING&amp;vid=01CRU&amp;lang=en_US&amp;offset=0&amp;query=any,contains,991001836929702656","Catalog Record")</f>
        <v/>
      </c>
      <c r="AT1372">
        <f>HYPERLINK("http://www.worldcat.org/oclc/23080057","WorldCat Record")</f>
        <v/>
      </c>
      <c r="AU1372" t="inlineStr">
        <is>
          <t>9657788128:eng</t>
        </is>
      </c>
      <c r="AV1372" t="inlineStr">
        <is>
          <t>23080057</t>
        </is>
      </c>
      <c r="AW1372" t="inlineStr">
        <is>
          <t>991001836929702656</t>
        </is>
      </c>
      <c r="AX1372" t="inlineStr">
        <is>
          <t>991001836929702656</t>
        </is>
      </c>
      <c r="AY1372" t="inlineStr">
        <is>
          <t>2259396440002656</t>
        </is>
      </c>
      <c r="AZ1372" t="inlineStr">
        <is>
          <t>BOOK</t>
        </is>
      </c>
      <c r="BB1372" t="inlineStr">
        <is>
          <t>9780198556541</t>
        </is>
      </c>
      <c r="BC1372" t="inlineStr">
        <is>
          <t>32285001039618</t>
        </is>
      </c>
      <c r="BD1372" t="inlineStr">
        <is>
          <t>893596769</t>
        </is>
      </c>
    </row>
    <row r="1373">
      <c r="A1373" t="inlineStr">
        <is>
          <t>No</t>
        </is>
      </c>
      <c r="B1373" t="inlineStr">
        <is>
          <t>QD96.N8 A37 1992</t>
        </is>
      </c>
      <c r="C1373" t="inlineStr">
        <is>
          <t>0                      QD 0096000N  8                  A  37          1992</t>
        </is>
      </c>
      <c r="D1373" t="inlineStr">
        <is>
          <t>NMR and chemistry : an introduction to modern NMR spectroscopy / J.W. Akitt.</t>
        </is>
      </c>
      <c r="F1373" t="inlineStr">
        <is>
          <t>No</t>
        </is>
      </c>
      <c r="G1373" t="inlineStr">
        <is>
          <t>1</t>
        </is>
      </c>
      <c r="H1373" t="inlineStr">
        <is>
          <t>No</t>
        </is>
      </c>
      <c r="I1373" t="inlineStr">
        <is>
          <t>No</t>
        </is>
      </c>
      <c r="J1373" t="inlineStr">
        <is>
          <t>0</t>
        </is>
      </c>
      <c r="K1373" t="inlineStr">
        <is>
          <t>Akitt, J. W.</t>
        </is>
      </c>
      <c r="L1373" t="inlineStr">
        <is>
          <t>London ; New York : Chapman &amp; Hall, 1992.</t>
        </is>
      </c>
      <c r="M1373" t="inlineStr">
        <is>
          <t>1992</t>
        </is>
      </c>
      <c r="N1373" t="inlineStr">
        <is>
          <t>3rd ed.</t>
        </is>
      </c>
      <c r="O1373" t="inlineStr">
        <is>
          <t>eng</t>
        </is>
      </c>
      <c r="P1373" t="inlineStr">
        <is>
          <t>enk</t>
        </is>
      </c>
      <c r="R1373" t="inlineStr">
        <is>
          <t xml:space="preserve">QD </t>
        </is>
      </c>
      <c r="S1373" t="n">
        <v>5</v>
      </c>
      <c r="T1373" t="n">
        <v>5</v>
      </c>
      <c r="U1373" t="inlineStr">
        <is>
          <t>2007-07-31</t>
        </is>
      </c>
      <c r="V1373" t="inlineStr">
        <is>
          <t>2007-07-31</t>
        </is>
      </c>
      <c r="W1373" t="inlineStr">
        <is>
          <t>1993-10-16</t>
        </is>
      </c>
      <c r="X1373" t="inlineStr">
        <is>
          <t>1993-10-16</t>
        </is>
      </c>
      <c r="Y1373" t="n">
        <v>360</v>
      </c>
      <c r="Z1373" t="n">
        <v>240</v>
      </c>
      <c r="AA1373" t="n">
        <v>366</v>
      </c>
      <c r="AB1373" t="n">
        <v>3</v>
      </c>
      <c r="AC1373" t="n">
        <v>4</v>
      </c>
      <c r="AD1373" t="n">
        <v>14</v>
      </c>
      <c r="AE1373" t="n">
        <v>16</v>
      </c>
      <c r="AF1373" t="n">
        <v>2</v>
      </c>
      <c r="AG1373" t="n">
        <v>3</v>
      </c>
      <c r="AH1373" t="n">
        <v>4</v>
      </c>
      <c r="AI1373" t="n">
        <v>4</v>
      </c>
      <c r="AJ1373" t="n">
        <v>10</v>
      </c>
      <c r="AK1373" t="n">
        <v>10</v>
      </c>
      <c r="AL1373" t="n">
        <v>2</v>
      </c>
      <c r="AM1373" t="n">
        <v>3</v>
      </c>
      <c r="AN1373" t="n">
        <v>0</v>
      </c>
      <c r="AO1373" t="n">
        <v>0</v>
      </c>
      <c r="AP1373" t="inlineStr">
        <is>
          <t>No</t>
        </is>
      </c>
      <c r="AQ1373" t="inlineStr">
        <is>
          <t>No</t>
        </is>
      </c>
      <c r="AS1373">
        <f>HYPERLINK("https://creighton-primo.hosted.exlibrisgroup.com/primo-explore/search?tab=default_tab&amp;search_scope=EVERYTHING&amp;vid=01CRU&amp;lang=en_US&amp;offset=0&amp;query=any,contains,991001993949702656","Catalog Record")</f>
        <v/>
      </c>
      <c r="AT1373">
        <f>HYPERLINK("http://www.worldcat.org/oclc/25317520","WorldCat Record")</f>
        <v/>
      </c>
      <c r="AU1373" t="inlineStr">
        <is>
          <t>24137736:eng</t>
        </is>
      </c>
      <c r="AV1373" t="inlineStr">
        <is>
          <t>25317520</t>
        </is>
      </c>
      <c r="AW1373" t="inlineStr">
        <is>
          <t>991001993949702656</t>
        </is>
      </c>
      <c r="AX1373" t="inlineStr">
        <is>
          <t>991001993949702656</t>
        </is>
      </c>
      <c r="AY1373" t="inlineStr">
        <is>
          <t>2267787950002656</t>
        </is>
      </c>
      <c r="AZ1373" t="inlineStr">
        <is>
          <t>BOOK</t>
        </is>
      </c>
      <c r="BB1373" t="inlineStr">
        <is>
          <t>9780412372605</t>
        </is>
      </c>
      <c r="BC1373" t="inlineStr">
        <is>
          <t>32285001786424</t>
        </is>
      </c>
      <c r="BD1373" t="inlineStr">
        <is>
          <t>893626893</t>
        </is>
      </c>
    </row>
    <row r="1374">
      <c r="A1374" t="inlineStr">
        <is>
          <t>No</t>
        </is>
      </c>
      <c r="B1374" t="inlineStr">
        <is>
          <t>QD96.N8 B727 1998</t>
        </is>
      </c>
      <c r="C1374" t="inlineStr">
        <is>
          <t>0                      QD 0096000N  8                  B  727         1998</t>
        </is>
      </c>
      <c r="D1374" t="inlineStr">
        <is>
          <t>150 and more basic NMR experiments : a practical course / S. Braun, H.-O. Kalinowski, S. Berger.</t>
        </is>
      </c>
      <c r="F1374" t="inlineStr">
        <is>
          <t>No</t>
        </is>
      </c>
      <c r="G1374" t="inlineStr">
        <is>
          <t>1</t>
        </is>
      </c>
      <c r="H1374" t="inlineStr">
        <is>
          <t>No</t>
        </is>
      </c>
      <c r="I1374" t="inlineStr">
        <is>
          <t>No</t>
        </is>
      </c>
      <c r="J1374" t="inlineStr">
        <is>
          <t>0</t>
        </is>
      </c>
      <c r="K1374" t="inlineStr">
        <is>
          <t>Braun, Siegmar.</t>
        </is>
      </c>
      <c r="L1374" t="inlineStr">
        <is>
          <t>Weinheim ; New York : VCH, c1998.</t>
        </is>
      </c>
      <c r="M1374" t="inlineStr">
        <is>
          <t>1998</t>
        </is>
      </c>
      <c r="N1374" t="inlineStr">
        <is>
          <t>2nd expanded ed.</t>
        </is>
      </c>
      <c r="O1374" t="inlineStr">
        <is>
          <t>eng</t>
        </is>
      </c>
      <c r="P1374" t="inlineStr">
        <is>
          <t xml:space="preserve">gw </t>
        </is>
      </c>
      <c r="R1374" t="inlineStr">
        <is>
          <t xml:space="preserve">QD </t>
        </is>
      </c>
      <c r="S1374" t="n">
        <v>6</v>
      </c>
      <c r="T1374" t="n">
        <v>6</v>
      </c>
      <c r="U1374" t="inlineStr">
        <is>
          <t>2005-03-30</t>
        </is>
      </c>
      <c r="V1374" t="inlineStr">
        <is>
          <t>2005-03-30</t>
        </is>
      </c>
      <c r="W1374" t="inlineStr">
        <is>
          <t>2001-03-07</t>
        </is>
      </c>
      <c r="X1374" t="inlineStr">
        <is>
          <t>2001-03-07</t>
        </is>
      </c>
      <c r="Y1374" t="n">
        <v>462</v>
      </c>
      <c r="Z1374" t="n">
        <v>322</v>
      </c>
      <c r="AA1374" t="n">
        <v>323</v>
      </c>
      <c r="AB1374" t="n">
        <v>1</v>
      </c>
      <c r="AC1374" t="n">
        <v>2</v>
      </c>
      <c r="AD1374" t="n">
        <v>16</v>
      </c>
      <c r="AE1374" t="n">
        <v>17</v>
      </c>
      <c r="AF1374" t="n">
        <v>6</v>
      </c>
      <c r="AG1374" t="n">
        <v>6</v>
      </c>
      <c r="AH1374" t="n">
        <v>4</v>
      </c>
      <c r="AI1374" t="n">
        <v>4</v>
      </c>
      <c r="AJ1374" t="n">
        <v>9</v>
      </c>
      <c r="AK1374" t="n">
        <v>9</v>
      </c>
      <c r="AL1374" t="n">
        <v>0</v>
      </c>
      <c r="AM1374" t="n">
        <v>1</v>
      </c>
      <c r="AN1374" t="n">
        <v>0</v>
      </c>
      <c r="AO1374" t="n">
        <v>0</v>
      </c>
      <c r="AP1374" t="inlineStr">
        <is>
          <t>No</t>
        </is>
      </c>
      <c r="AQ1374" t="inlineStr">
        <is>
          <t>No</t>
        </is>
      </c>
      <c r="AS1374">
        <f>HYPERLINK("https://creighton-primo.hosted.exlibrisgroup.com/primo-explore/search?tab=default_tab&amp;search_scope=EVERYTHING&amp;vid=01CRU&amp;lang=en_US&amp;offset=0&amp;query=any,contains,991003475879702656","Catalog Record")</f>
        <v/>
      </c>
      <c r="AT1374">
        <f>HYPERLINK("http://www.worldcat.org/oclc/39620025","WorldCat Record")</f>
        <v/>
      </c>
      <c r="AU1374" t="inlineStr">
        <is>
          <t>836974963:eng</t>
        </is>
      </c>
      <c r="AV1374" t="inlineStr">
        <is>
          <t>39620025</t>
        </is>
      </c>
      <c r="AW1374" t="inlineStr">
        <is>
          <t>991003475879702656</t>
        </is>
      </c>
      <c r="AX1374" t="inlineStr">
        <is>
          <t>991003475879702656</t>
        </is>
      </c>
      <c r="AY1374" t="inlineStr">
        <is>
          <t>2259859210002656</t>
        </is>
      </c>
      <c r="AZ1374" t="inlineStr">
        <is>
          <t>BOOK</t>
        </is>
      </c>
      <c r="BB1374" t="inlineStr">
        <is>
          <t>9783527295128</t>
        </is>
      </c>
      <c r="BC1374" t="inlineStr">
        <is>
          <t>32285004299540</t>
        </is>
      </c>
      <c r="BD1374" t="inlineStr">
        <is>
          <t>893330328</t>
        </is>
      </c>
    </row>
    <row r="1375">
      <c r="A1375" t="inlineStr">
        <is>
          <t>No</t>
        </is>
      </c>
      <c r="B1375" t="inlineStr">
        <is>
          <t>QD96.N8 B7313 1987</t>
        </is>
      </c>
      <c r="C1375" t="inlineStr">
        <is>
          <t>0                      QD 0096000N  8                  B  7313        1987</t>
        </is>
      </c>
      <c r="D1375" t="inlineStr">
        <is>
          <t>Carbon-13 NMR spectroscopy : high-resolution methods and applications in organic chemistry and biochemistry / Eberhard Breitmaier, Wolfgang Voelter.</t>
        </is>
      </c>
      <c r="F1375" t="inlineStr">
        <is>
          <t>No</t>
        </is>
      </c>
      <c r="G1375" t="inlineStr">
        <is>
          <t>1</t>
        </is>
      </c>
      <c r="H1375" t="inlineStr">
        <is>
          <t>No</t>
        </is>
      </c>
      <c r="I1375" t="inlineStr">
        <is>
          <t>No</t>
        </is>
      </c>
      <c r="J1375" t="inlineStr">
        <is>
          <t>0</t>
        </is>
      </c>
      <c r="K1375" t="inlineStr">
        <is>
          <t>Breitmaier, Eberhard, 1939-</t>
        </is>
      </c>
      <c r="L1375" t="inlineStr">
        <is>
          <t>New York : VCH Publishers, c1987.</t>
        </is>
      </c>
      <c r="M1375" t="inlineStr">
        <is>
          <t>1987</t>
        </is>
      </c>
      <c r="N1375" t="inlineStr">
        <is>
          <t>3rd completely rev. ed.</t>
        </is>
      </c>
      <c r="O1375" t="inlineStr">
        <is>
          <t>eng</t>
        </is>
      </c>
      <c r="P1375" t="inlineStr">
        <is>
          <t>nyu</t>
        </is>
      </c>
      <c r="R1375" t="inlineStr">
        <is>
          <t xml:space="preserve">QD </t>
        </is>
      </c>
      <c r="S1375" t="n">
        <v>8</v>
      </c>
      <c r="T1375" t="n">
        <v>8</v>
      </c>
      <c r="U1375" t="inlineStr">
        <is>
          <t>2003-03-20</t>
        </is>
      </c>
      <c r="V1375" t="inlineStr">
        <is>
          <t>2003-03-20</t>
        </is>
      </c>
      <c r="W1375" t="inlineStr">
        <is>
          <t>1993-01-22</t>
        </is>
      </c>
      <c r="X1375" t="inlineStr">
        <is>
          <t>1993-01-22</t>
        </is>
      </c>
      <c r="Y1375" t="n">
        <v>465</v>
      </c>
      <c r="Z1375" t="n">
        <v>354</v>
      </c>
      <c r="AA1375" t="n">
        <v>399</v>
      </c>
      <c r="AB1375" t="n">
        <v>2</v>
      </c>
      <c r="AC1375" t="n">
        <v>2</v>
      </c>
      <c r="AD1375" t="n">
        <v>15</v>
      </c>
      <c r="AE1375" t="n">
        <v>17</v>
      </c>
      <c r="AF1375" t="n">
        <v>3</v>
      </c>
      <c r="AG1375" t="n">
        <v>5</v>
      </c>
      <c r="AH1375" t="n">
        <v>5</v>
      </c>
      <c r="AI1375" t="n">
        <v>6</v>
      </c>
      <c r="AJ1375" t="n">
        <v>12</v>
      </c>
      <c r="AK1375" t="n">
        <v>12</v>
      </c>
      <c r="AL1375" t="n">
        <v>1</v>
      </c>
      <c r="AM1375" t="n">
        <v>1</v>
      </c>
      <c r="AN1375" t="n">
        <v>0</v>
      </c>
      <c r="AO1375" t="n">
        <v>0</v>
      </c>
      <c r="AP1375" t="inlineStr">
        <is>
          <t>No</t>
        </is>
      </c>
      <c r="AQ1375" t="inlineStr">
        <is>
          <t>Yes</t>
        </is>
      </c>
      <c r="AR1375">
        <f>HYPERLINK("http://catalog.hathitrust.org/Record/007164372","HathiTrust Record")</f>
        <v/>
      </c>
      <c r="AS1375">
        <f>HYPERLINK("https://creighton-primo.hosted.exlibrisgroup.com/primo-explore/search?tab=default_tab&amp;search_scope=EVERYTHING&amp;vid=01CRU&amp;lang=en_US&amp;offset=0&amp;query=any,contains,991000952619702656","Catalog Record")</f>
        <v/>
      </c>
      <c r="AT1375">
        <f>HYPERLINK("http://www.worldcat.org/oclc/14692511","WorldCat Record")</f>
        <v/>
      </c>
      <c r="AU1375" t="inlineStr">
        <is>
          <t>9074694:eng</t>
        </is>
      </c>
      <c r="AV1375" t="inlineStr">
        <is>
          <t>14692511</t>
        </is>
      </c>
      <c r="AW1375" t="inlineStr">
        <is>
          <t>991000952619702656</t>
        </is>
      </c>
      <c r="AX1375" t="inlineStr">
        <is>
          <t>991000952619702656</t>
        </is>
      </c>
      <c r="AY1375" t="inlineStr">
        <is>
          <t>2257688470002656</t>
        </is>
      </c>
      <c r="AZ1375" t="inlineStr">
        <is>
          <t>BOOK</t>
        </is>
      </c>
      <c r="BB1375" t="inlineStr">
        <is>
          <t>9780895734938</t>
        </is>
      </c>
      <c r="BC1375" t="inlineStr">
        <is>
          <t>32285001515351</t>
        </is>
      </c>
      <c r="BD1375" t="inlineStr">
        <is>
          <t>893502968</t>
        </is>
      </c>
    </row>
    <row r="1376">
      <c r="A1376" t="inlineStr">
        <is>
          <t>No</t>
        </is>
      </c>
      <c r="B1376" t="inlineStr">
        <is>
          <t>QD96.N8 D83 1989</t>
        </is>
      </c>
      <c r="C1376" t="inlineStr">
        <is>
          <t>0                      QD 0096000N  8                  D  83          1989</t>
        </is>
      </c>
      <c r="D1376" t="inlineStr">
        <is>
          <t>Structure elucidation by modern NMR : a workbook / H. Duddeck, W. Dietrich ; with a preface by J.B. Stothers.</t>
        </is>
      </c>
      <c r="F1376" t="inlineStr">
        <is>
          <t>No</t>
        </is>
      </c>
      <c r="G1376" t="inlineStr">
        <is>
          <t>1</t>
        </is>
      </c>
      <c r="H1376" t="inlineStr">
        <is>
          <t>No</t>
        </is>
      </c>
      <c r="I1376" t="inlineStr">
        <is>
          <t>No</t>
        </is>
      </c>
      <c r="J1376" t="inlineStr">
        <is>
          <t>0</t>
        </is>
      </c>
      <c r="K1376" t="inlineStr">
        <is>
          <t>Duddeck, H. (Helmut)</t>
        </is>
      </c>
      <c r="L1376" t="inlineStr">
        <is>
          <t>Darmstadt : Steinkopff ; New York : Springer-Verlag, c1989.</t>
        </is>
      </c>
      <c r="M1376" t="inlineStr">
        <is>
          <t>1989</t>
        </is>
      </c>
      <c r="O1376" t="inlineStr">
        <is>
          <t>eng</t>
        </is>
      </c>
      <c r="P1376" t="inlineStr">
        <is>
          <t xml:space="preserve">gw </t>
        </is>
      </c>
      <c r="R1376" t="inlineStr">
        <is>
          <t xml:space="preserve">QD </t>
        </is>
      </c>
      <c r="S1376" t="n">
        <v>12</v>
      </c>
      <c r="T1376" t="n">
        <v>12</v>
      </c>
      <c r="U1376" t="inlineStr">
        <is>
          <t>2002-02-27</t>
        </is>
      </c>
      <c r="V1376" t="inlineStr">
        <is>
          <t>2002-02-27</t>
        </is>
      </c>
      <c r="W1376" t="inlineStr">
        <is>
          <t>1990-07-16</t>
        </is>
      </c>
      <c r="X1376" t="inlineStr">
        <is>
          <t>1990-07-16</t>
        </is>
      </c>
      <c r="Y1376" t="n">
        <v>251</v>
      </c>
      <c r="Z1376" t="n">
        <v>209</v>
      </c>
      <c r="AA1376" t="n">
        <v>351</v>
      </c>
      <c r="AB1376" t="n">
        <v>3</v>
      </c>
      <c r="AC1376" t="n">
        <v>3</v>
      </c>
      <c r="AD1376" t="n">
        <v>8</v>
      </c>
      <c r="AE1376" t="n">
        <v>12</v>
      </c>
      <c r="AF1376" t="n">
        <v>1</v>
      </c>
      <c r="AG1376" t="n">
        <v>3</v>
      </c>
      <c r="AH1376" t="n">
        <v>3</v>
      </c>
      <c r="AI1376" t="n">
        <v>4</v>
      </c>
      <c r="AJ1376" t="n">
        <v>4</v>
      </c>
      <c r="AK1376" t="n">
        <v>6</v>
      </c>
      <c r="AL1376" t="n">
        <v>2</v>
      </c>
      <c r="AM1376" t="n">
        <v>2</v>
      </c>
      <c r="AN1376" t="n">
        <v>0</v>
      </c>
      <c r="AO1376" t="n">
        <v>0</v>
      </c>
      <c r="AP1376" t="inlineStr">
        <is>
          <t>No</t>
        </is>
      </c>
      <c r="AQ1376" t="inlineStr">
        <is>
          <t>Yes</t>
        </is>
      </c>
      <c r="AR1376">
        <f>HYPERLINK("http://catalog.hathitrust.org/Record/001950590","HathiTrust Record")</f>
        <v/>
      </c>
      <c r="AS1376">
        <f>HYPERLINK("https://creighton-primo.hosted.exlibrisgroup.com/primo-explore/search?tab=default_tab&amp;search_scope=EVERYTHING&amp;vid=01CRU&amp;lang=en_US&amp;offset=0&amp;query=any,contains,991005411529702656","Catalog Record")</f>
        <v/>
      </c>
      <c r="AT1376">
        <f>HYPERLINK("http://www.worldcat.org/oclc/20359754","WorldCat Record")</f>
        <v/>
      </c>
      <c r="AU1376" t="inlineStr">
        <is>
          <t>335468:eng</t>
        </is>
      </c>
      <c r="AV1376" t="inlineStr">
        <is>
          <t>20359754</t>
        </is>
      </c>
      <c r="AW1376" t="inlineStr">
        <is>
          <t>991005411529702656</t>
        </is>
      </c>
      <c r="AX1376" t="inlineStr">
        <is>
          <t>991005411529702656</t>
        </is>
      </c>
      <c r="AY1376" t="inlineStr">
        <is>
          <t>2271504290002656</t>
        </is>
      </c>
      <c r="AZ1376" t="inlineStr">
        <is>
          <t>BOOK</t>
        </is>
      </c>
      <c r="BB1376" t="inlineStr">
        <is>
          <t>9780387913483</t>
        </is>
      </c>
      <c r="BC1376" t="inlineStr">
        <is>
          <t>32285000208057</t>
        </is>
      </c>
      <c r="BD1376" t="inlineStr">
        <is>
          <t>893248878</t>
        </is>
      </c>
    </row>
    <row r="1377">
      <c r="A1377" t="inlineStr">
        <is>
          <t>No</t>
        </is>
      </c>
      <c r="B1377" t="inlineStr">
        <is>
          <t>QD96.N8 F74 1988</t>
        </is>
      </c>
      <c r="C1377" t="inlineStr">
        <is>
          <t>0                      QD 0096000N  8                  F  74          1988</t>
        </is>
      </c>
      <c r="D1377" t="inlineStr">
        <is>
          <t>A handbook of nuclear magnetic resonance / Ray Freeman.</t>
        </is>
      </c>
      <c r="F1377" t="inlineStr">
        <is>
          <t>No</t>
        </is>
      </c>
      <c r="G1377" t="inlineStr">
        <is>
          <t>1</t>
        </is>
      </c>
      <c r="H1377" t="inlineStr">
        <is>
          <t>No</t>
        </is>
      </c>
      <c r="I1377" t="inlineStr">
        <is>
          <t>No</t>
        </is>
      </c>
      <c r="J1377" t="inlineStr">
        <is>
          <t>0</t>
        </is>
      </c>
      <c r="K1377" t="inlineStr">
        <is>
          <t>Freeman, Ray, 1932-</t>
        </is>
      </c>
      <c r="L1377" t="inlineStr">
        <is>
          <t>Harlow, Essex, England : Longman Scientific &amp; Technical ; New York : Wiley, 1987, c1988.</t>
        </is>
      </c>
      <c r="M1377" t="inlineStr">
        <is>
          <t>1987</t>
        </is>
      </c>
      <c r="O1377" t="inlineStr">
        <is>
          <t>eng</t>
        </is>
      </c>
      <c r="P1377" t="inlineStr">
        <is>
          <t>enk</t>
        </is>
      </c>
      <c r="R1377" t="inlineStr">
        <is>
          <t xml:space="preserve">QD </t>
        </is>
      </c>
      <c r="S1377" t="n">
        <v>16</v>
      </c>
      <c r="T1377" t="n">
        <v>16</v>
      </c>
      <c r="U1377" t="inlineStr">
        <is>
          <t>2004-04-03</t>
        </is>
      </c>
      <c r="V1377" t="inlineStr">
        <is>
          <t>2004-04-03</t>
        </is>
      </c>
      <c r="W1377" t="inlineStr">
        <is>
          <t>1992-04-14</t>
        </is>
      </c>
      <c r="X1377" t="inlineStr">
        <is>
          <t>1992-04-14</t>
        </is>
      </c>
      <c r="Y1377" t="n">
        <v>500</v>
      </c>
      <c r="Z1377" t="n">
        <v>359</v>
      </c>
      <c r="AA1377" t="n">
        <v>418</v>
      </c>
      <c r="AB1377" t="n">
        <v>4</v>
      </c>
      <c r="AC1377" t="n">
        <v>4</v>
      </c>
      <c r="AD1377" t="n">
        <v>17</v>
      </c>
      <c r="AE1377" t="n">
        <v>17</v>
      </c>
      <c r="AF1377" t="n">
        <v>3</v>
      </c>
      <c r="AG1377" t="n">
        <v>3</v>
      </c>
      <c r="AH1377" t="n">
        <v>5</v>
      </c>
      <c r="AI1377" t="n">
        <v>5</v>
      </c>
      <c r="AJ1377" t="n">
        <v>10</v>
      </c>
      <c r="AK1377" t="n">
        <v>10</v>
      </c>
      <c r="AL1377" t="n">
        <v>3</v>
      </c>
      <c r="AM1377" t="n">
        <v>3</v>
      </c>
      <c r="AN1377" t="n">
        <v>0</v>
      </c>
      <c r="AO1377" t="n">
        <v>0</v>
      </c>
      <c r="AP1377" t="inlineStr">
        <is>
          <t>No</t>
        </is>
      </c>
      <c r="AQ1377" t="inlineStr">
        <is>
          <t>Yes</t>
        </is>
      </c>
      <c r="AR1377">
        <f>HYPERLINK("http://catalog.hathitrust.org/Record/000883969","HathiTrust Record")</f>
        <v/>
      </c>
      <c r="AS1377">
        <f>HYPERLINK("https://creighton-primo.hosted.exlibrisgroup.com/primo-explore/search?tab=default_tab&amp;search_scope=EVERYTHING&amp;vid=01CRU&amp;lang=en_US&amp;offset=0&amp;query=any,contains,991005407509702656","Catalog Record")</f>
        <v/>
      </c>
      <c r="AT1377">
        <f>HYPERLINK("http://www.worldcat.org/oclc/15083649","WorldCat Record")</f>
        <v/>
      </c>
      <c r="AU1377" t="inlineStr">
        <is>
          <t>143871079:eng</t>
        </is>
      </c>
      <c r="AV1377" t="inlineStr">
        <is>
          <t>15083649</t>
        </is>
      </c>
      <c r="AW1377" t="inlineStr">
        <is>
          <t>991005407509702656</t>
        </is>
      </c>
      <c r="AX1377" t="inlineStr">
        <is>
          <t>991005407509702656</t>
        </is>
      </c>
      <c r="AY1377" t="inlineStr">
        <is>
          <t>2258056000002656</t>
        </is>
      </c>
      <c r="AZ1377" t="inlineStr">
        <is>
          <t>BOOK</t>
        </is>
      </c>
      <c r="BB1377" t="inlineStr">
        <is>
          <t>9780470208120</t>
        </is>
      </c>
      <c r="BC1377" t="inlineStr">
        <is>
          <t>32285001059707</t>
        </is>
      </c>
      <c r="BD1377" t="inlineStr">
        <is>
          <t>893720367</t>
        </is>
      </c>
    </row>
    <row r="1378">
      <c r="A1378" t="inlineStr">
        <is>
          <t>No</t>
        </is>
      </c>
      <c r="B1378" t="inlineStr">
        <is>
          <t>QD96.N8 G65 1988</t>
        </is>
      </c>
      <c r="C1378" t="inlineStr">
        <is>
          <t>0                      QD 0096000N  8                  G  65          1988</t>
        </is>
      </c>
      <c r="D1378" t="inlineStr">
        <is>
          <t>Quantum description of high-resolution NMR in liquids / Maurice Goldman.</t>
        </is>
      </c>
      <c r="F1378" t="inlineStr">
        <is>
          <t>No</t>
        </is>
      </c>
      <c r="G1378" t="inlineStr">
        <is>
          <t>1</t>
        </is>
      </c>
      <c r="H1378" t="inlineStr">
        <is>
          <t>No</t>
        </is>
      </c>
      <c r="I1378" t="inlineStr">
        <is>
          <t>No</t>
        </is>
      </c>
      <c r="J1378" t="inlineStr">
        <is>
          <t>0</t>
        </is>
      </c>
      <c r="K1378" t="inlineStr">
        <is>
          <t>Goldman, M. (Maurice), 1933-</t>
        </is>
      </c>
      <c r="L1378" t="inlineStr">
        <is>
          <t>Oxford : Clarendon Press ; New York : Oxford University Press, 1988.</t>
        </is>
      </c>
      <c r="M1378" t="inlineStr">
        <is>
          <t>1988</t>
        </is>
      </c>
      <c r="O1378" t="inlineStr">
        <is>
          <t>eng</t>
        </is>
      </c>
      <c r="P1378" t="inlineStr">
        <is>
          <t>enk</t>
        </is>
      </c>
      <c r="Q1378" t="inlineStr">
        <is>
          <t>The International series of monographs on chemistry ; 15</t>
        </is>
      </c>
      <c r="R1378" t="inlineStr">
        <is>
          <t xml:space="preserve">QD </t>
        </is>
      </c>
      <c r="S1378" t="n">
        <v>8</v>
      </c>
      <c r="T1378" t="n">
        <v>8</v>
      </c>
      <c r="U1378" t="inlineStr">
        <is>
          <t>2002-02-27</t>
        </is>
      </c>
      <c r="V1378" t="inlineStr">
        <is>
          <t>2002-02-27</t>
        </is>
      </c>
      <c r="W1378" t="inlineStr">
        <is>
          <t>1991-01-22</t>
        </is>
      </c>
      <c r="X1378" t="inlineStr">
        <is>
          <t>1991-01-22</t>
        </is>
      </c>
      <c r="Y1378" t="n">
        <v>255</v>
      </c>
      <c r="Z1378" t="n">
        <v>181</v>
      </c>
      <c r="AA1378" t="n">
        <v>212</v>
      </c>
      <c r="AB1378" t="n">
        <v>2</v>
      </c>
      <c r="AC1378" t="n">
        <v>2</v>
      </c>
      <c r="AD1378" t="n">
        <v>11</v>
      </c>
      <c r="AE1378" t="n">
        <v>11</v>
      </c>
      <c r="AF1378" t="n">
        <v>0</v>
      </c>
      <c r="AG1378" t="n">
        <v>0</v>
      </c>
      <c r="AH1378" t="n">
        <v>4</v>
      </c>
      <c r="AI1378" t="n">
        <v>4</v>
      </c>
      <c r="AJ1378" t="n">
        <v>8</v>
      </c>
      <c r="AK1378" t="n">
        <v>8</v>
      </c>
      <c r="AL1378" t="n">
        <v>1</v>
      </c>
      <c r="AM1378" t="n">
        <v>1</v>
      </c>
      <c r="AN1378" t="n">
        <v>0</v>
      </c>
      <c r="AO1378" t="n">
        <v>0</v>
      </c>
      <c r="AP1378" t="inlineStr">
        <is>
          <t>No</t>
        </is>
      </c>
      <c r="AQ1378" t="inlineStr">
        <is>
          <t>Yes</t>
        </is>
      </c>
      <c r="AR1378">
        <f>HYPERLINK("http://catalog.hathitrust.org/Record/001076495","HathiTrust Record")</f>
        <v/>
      </c>
      <c r="AS1378">
        <f>HYPERLINK("https://creighton-primo.hosted.exlibrisgroup.com/primo-explore/search?tab=default_tab&amp;search_scope=EVERYTHING&amp;vid=01CRU&amp;lang=en_US&amp;offset=0&amp;query=any,contains,991005408979702656","Catalog Record")</f>
        <v/>
      </c>
      <c r="AT1378">
        <f>HYPERLINK("http://www.worldcat.org/oclc/17546953","WorldCat Record")</f>
        <v/>
      </c>
      <c r="AU1378" t="inlineStr">
        <is>
          <t>9257418:eng</t>
        </is>
      </c>
      <c r="AV1378" t="inlineStr">
        <is>
          <t>17546953</t>
        </is>
      </c>
      <c r="AW1378" t="inlineStr">
        <is>
          <t>991005408979702656</t>
        </is>
      </c>
      <c r="AX1378" t="inlineStr">
        <is>
          <t>991005408979702656</t>
        </is>
      </c>
      <c r="AY1378" t="inlineStr">
        <is>
          <t>2267884700002656</t>
        </is>
      </c>
      <c r="AZ1378" t="inlineStr">
        <is>
          <t>BOOK</t>
        </is>
      </c>
      <c r="BB1378" t="inlineStr">
        <is>
          <t>9780198556398</t>
        </is>
      </c>
      <c r="BC1378" t="inlineStr">
        <is>
          <t>32285000409689</t>
        </is>
      </c>
      <c r="BD1378" t="inlineStr">
        <is>
          <t>893720370</t>
        </is>
      </c>
    </row>
    <row r="1379">
      <c r="A1379" t="inlineStr">
        <is>
          <t>No</t>
        </is>
      </c>
      <c r="B1379" t="inlineStr">
        <is>
          <t>QD96.N8 J33 2007</t>
        </is>
      </c>
      <c r="C1379" t="inlineStr">
        <is>
          <t>0                      QD 0096000N  8                  J  33          2007</t>
        </is>
      </c>
      <c r="D1379" t="inlineStr">
        <is>
          <t>NMR spectroscopy explained : simplified theory, applications and examples for organic chemistry and structural biology / Neil E Jacobsen.</t>
        </is>
      </c>
      <c r="F1379" t="inlineStr">
        <is>
          <t>No</t>
        </is>
      </c>
      <c r="G1379" t="inlineStr">
        <is>
          <t>1</t>
        </is>
      </c>
      <c r="H1379" t="inlineStr">
        <is>
          <t>No</t>
        </is>
      </c>
      <c r="I1379" t="inlineStr">
        <is>
          <t>No</t>
        </is>
      </c>
      <c r="J1379" t="inlineStr">
        <is>
          <t>0</t>
        </is>
      </c>
      <c r="K1379" t="inlineStr">
        <is>
          <t>Jacobsen, Neil E.</t>
        </is>
      </c>
      <c r="L1379" t="inlineStr">
        <is>
          <t>Hoboken, N.J. : Wiley-Interscience, c2007.</t>
        </is>
      </c>
      <c r="M1379" t="inlineStr">
        <is>
          <t>2007</t>
        </is>
      </c>
      <c r="O1379" t="inlineStr">
        <is>
          <t>eng</t>
        </is>
      </c>
      <c r="P1379" t="inlineStr">
        <is>
          <t>nju</t>
        </is>
      </c>
      <c r="R1379" t="inlineStr">
        <is>
          <t xml:space="preserve">QD </t>
        </is>
      </c>
      <c r="S1379" t="n">
        <v>1</v>
      </c>
      <c r="T1379" t="n">
        <v>1</v>
      </c>
      <c r="U1379" t="inlineStr">
        <is>
          <t>2008-09-17</t>
        </is>
      </c>
      <c r="V1379" t="inlineStr">
        <is>
          <t>2008-09-17</t>
        </is>
      </c>
      <c r="W1379" t="inlineStr">
        <is>
          <t>2008-09-17</t>
        </is>
      </c>
      <c r="X1379" t="inlineStr">
        <is>
          <t>2008-09-17</t>
        </is>
      </c>
      <c r="Y1379" t="n">
        <v>483</v>
      </c>
      <c r="Z1379" t="n">
        <v>361</v>
      </c>
      <c r="AA1379" t="n">
        <v>488</v>
      </c>
      <c r="AB1379" t="n">
        <v>4</v>
      </c>
      <c r="AC1379" t="n">
        <v>4</v>
      </c>
      <c r="AD1379" t="n">
        <v>23</v>
      </c>
      <c r="AE1379" t="n">
        <v>24</v>
      </c>
      <c r="AF1379" t="n">
        <v>9</v>
      </c>
      <c r="AG1379" t="n">
        <v>9</v>
      </c>
      <c r="AH1379" t="n">
        <v>4</v>
      </c>
      <c r="AI1379" t="n">
        <v>5</v>
      </c>
      <c r="AJ1379" t="n">
        <v>11</v>
      </c>
      <c r="AK1379" t="n">
        <v>11</v>
      </c>
      <c r="AL1379" t="n">
        <v>3</v>
      </c>
      <c r="AM1379" t="n">
        <v>3</v>
      </c>
      <c r="AN1379" t="n">
        <v>0</v>
      </c>
      <c r="AO1379" t="n">
        <v>0</v>
      </c>
      <c r="AP1379" t="inlineStr">
        <is>
          <t>No</t>
        </is>
      </c>
      <c r="AQ1379" t="inlineStr">
        <is>
          <t>No</t>
        </is>
      </c>
      <c r="AS1379">
        <f>HYPERLINK("https://creighton-primo.hosted.exlibrisgroup.com/primo-explore/search?tab=default_tab&amp;search_scope=EVERYTHING&amp;vid=01CRU&amp;lang=en_US&amp;offset=0&amp;query=any,contains,991005262809702656","Catalog Record")</f>
        <v/>
      </c>
      <c r="AT1379">
        <f>HYPERLINK("http://www.worldcat.org/oclc/85018721","WorldCat Record")</f>
        <v/>
      </c>
      <c r="AU1379" t="inlineStr">
        <is>
          <t>793850719:eng</t>
        </is>
      </c>
      <c r="AV1379" t="inlineStr">
        <is>
          <t>85018721</t>
        </is>
      </c>
      <c r="AW1379" t="inlineStr">
        <is>
          <t>991005262809702656</t>
        </is>
      </c>
      <c r="AX1379" t="inlineStr">
        <is>
          <t>991005262809702656</t>
        </is>
      </c>
      <c r="AY1379" t="inlineStr">
        <is>
          <t>2268415260002656</t>
        </is>
      </c>
      <c r="AZ1379" t="inlineStr">
        <is>
          <t>BOOK</t>
        </is>
      </c>
      <c r="BB1379" t="inlineStr">
        <is>
          <t>9780470173350</t>
        </is>
      </c>
      <c r="BC1379" t="inlineStr">
        <is>
          <t>32285005458632</t>
        </is>
      </c>
      <c r="BD1379" t="inlineStr">
        <is>
          <t>893600902</t>
        </is>
      </c>
    </row>
    <row r="1380">
      <c r="A1380" t="inlineStr">
        <is>
          <t>No</t>
        </is>
      </c>
      <c r="B1380" t="inlineStr">
        <is>
          <t>QD96.N8 K36 1986</t>
        </is>
      </c>
      <c r="C1380" t="inlineStr">
        <is>
          <t>0                      QD 0096000N  8                  K  36          1986</t>
        </is>
      </c>
      <c r="D1380" t="inlineStr">
        <is>
          <t>NMR in chemistry : a multinuclear introduction / William Kemp.</t>
        </is>
      </c>
      <c r="F1380" t="inlineStr">
        <is>
          <t>No</t>
        </is>
      </c>
      <c r="G1380" t="inlineStr">
        <is>
          <t>1</t>
        </is>
      </c>
      <c r="H1380" t="inlineStr">
        <is>
          <t>No</t>
        </is>
      </c>
      <c r="I1380" t="inlineStr">
        <is>
          <t>No</t>
        </is>
      </c>
      <c r="J1380" t="inlineStr">
        <is>
          <t>0</t>
        </is>
      </c>
      <c r="K1380" t="inlineStr">
        <is>
          <t>Kemp, William, 1932-</t>
        </is>
      </c>
      <c r="L1380" t="inlineStr">
        <is>
          <t>London : Macmillan, 1986.</t>
        </is>
      </c>
      <c r="M1380" t="inlineStr">
        <is>
          <t>1986</t>
        </is>
      </c>
      <c r="O1380" t="inlineStr">
        <is>
          <t>eng</t>
        </is>
      </c>
      <c r="P1380" t="inlineStr">
        <is>
          <t>enk</t>
        </is>
      </c>
      <c r="R1380" t="inlineStr">
        <is>
          <t xml:space="preserve">QD </t>
        </is>
      </c>
      <c r="S1380" t="n">
        <v>3</v>
      </c>
      <c r="T1380" t="n">
        <v>3</v>
      </c>
      <c r="U1380" t="inlineStr">
        <is>
          <t>1995-03-14</t>
        </is>
      </c>
      <c r="V1380" t="inlineStr">
        <is>
          <t>1995-03-14</t>
        </is>
      </c>
      <c r="W1380" t="inlineStr">
        <is>
          <t>1992-05-28</t>
        </is>
      </c>
      <c r="X1380" t="inlineStr">
        <is>
          <t>1992-05-28</t>
        </is>
      </c>
      <c r="Y1380" t="n">
        <v>168</v>
      </c>
      <c r="Z1380" t="n">
        <v>51</v>
      </c>
      <c r="AA1380" t="n">
        <v>115</v>
      </c>
      <c r="AB1380" t="n">
        <v>3</v>
      </c>
      <c r="AC1380" t="n">
        <v>4</v>
      </c>
      <c r="AD1380" t="n">
        <v>2</v>
      </c>
      <c r="AE1380" t="n">
        <v>7</v>
      </c>
      <c r="AF1380" t="n">
        <v>0</v>
      </c>
      <c r="AG1380" t="n">
        <v>1</v>
      </c>
      <c r="AH1380" t="n">
        <v>0</v>
      </c>
      <c r="AI1380" t="n">
        <v>0</v>
      </c>
      <c r="AJ1380" t="n">
        <v>0</v>
      </c>
      <c r="AK1380" t="n">
        <v>4</v>
      </c>
      <c r="AL1380" t="n">
        <v>2</v>
      </c>
      <c r="AM1380" t="n">
        <v>3</v>
      </c>
      <c r="AN1380" t="n">
        <v>0</v>
      </c>
      <c r="AO1380" t="n">
        <v>0</v>
      </c>
      <c r="AP1380" t="inlineStr">
        <is>
          <t>No</t>
        </is>
      </c>
      <c r="AQ1380" t="inlineStr">
        <is>
          <t>No</t>
        </is>
      </c>
      <c r="AS1380">
        <f>HYPERLINK("https://creighton-primo.hosted.exlibrisgroup.com/primo-explore/search?tab=default_tab&amp;search_scope=EVERYTHING&amp;vid=01CRU&amp;lang=en_US&amp;offset=0&amp;query=any,contains,991000791609702656","Catalog Record")</f>
        <v/>
      </c>
      <c r="AT1380">
        <f>HYPERLINK("http://www.worldcat.org/oclc/13158741","WorldCat Record")</f>
        <v/>
      </c>
      <c r="AU1380" t="inlineStr">
        <is>
          <t>5569434:eng</t>
        </is>
      </c>
      <c r="AV1380" t="inlineStr">
        <is>
          <t>13158741</t>
        </is>
      </c>
      <c r="AW1380" t="inlineStr">
        <is>
          <t>991000791609702656</t>
        </is>
      </c>
      <c r="AX1380" t="inlineStr">
        <is>
          <t>991000791609702656</t>
        </is>
      </c>
      <c r="AY1380" t="inlineStr">
        <is>
          <t>2265196380002656</t>
        </is>
      </c>
      <c r="AZ1380" t="inlineStr">
        <is>
          <t>BOOK</t>
        </is>
      </c>
      <c r="BB1380" t="inlineStr">
        <is>
          <t>9780333372920</t>
        </is>
      </c>
      <c r="BC1380" t="inlineStr">
        <is>
          <t>32285001114015</t>
        </is>
      </c>
      <c r="BD1380" t="inlineStr">
        <is>
          <t>893683752</t>
        </is>
      </c>
    </row>
    <row r="1381">
      <c r="A1381" t="inlineStr">
        <is>
          <t>No</t>
        </is>
      </c>
      <c r="B1381" t="inlineStr">
        <is>
          <t>QD96.N8 R63 2000</t>
        </is>
      </c>
      <c r="C1381" t="inlineStr">
        <is>
          <t>0                      QD 0096000N  8                  R  63          2000</t>
        </is>
      </c>
      <c r="D1381" t="inlineStr">
        <is>
          <t>ABCs of FT-NMR / John D. Roberts.</t>
        </is>
      </c>
      <c r="F1381" t="inlineStr">
        <is>
          <t>No</t>
        </is>
      </c>
      <c r="G1381" t="inlineStr">
        <is>
          <t>1</t>
        </is>
      </c>
      <c r="H1381" t="inlineStr">
        <is>
          <t>No</t>
        </is>
      </c>
      <c r="I1381" t="inlineStr">
        <is>
          <t>No</t>
        </is>
      </c>
      <c r="J1381" t="inlineStr">
        <is>
          <t>0</t>
        </is>
      </c>
      <c r="K1381" t="inlineStr">
        <is>
          <t>Roberts, John D., 1918-2016.</t>
        </is>
      </c>
      <c r="L1381" t="inlineStr">
        <is>
          <t>Sausalito, Calif. : University Science Books, c2000.</t>
        </is>
      </c>
      <c r="M1381" t="inlineStr">
        <is>
          <t>2000</t>
        </is>
      </c>
      <c r="O1381" t="inlineStr">
        <is>
          <t>eng</t>
        </is>
      </c>
      <c r="P1381" t="inlineStr">
        <is>
          <t>cau</t>
        </is>
      </c>
      <c r="R1381" t="inlineStr">
        <is>
          <t xml:space="preserve">QD </t>
        </is>
      </c>
      <c r="S1381" t="n">
        <v>2</v>
      </c>
      <c r="T1381" t="n">
        <v>2</v>
      </c>
      <c r="U1381" t="inlineStr">
        <is>
          <t>2004-04-03</t>
        </is>
      </c>
      <c r="V1381" t="inlineStr">
        <is>
          <t>2004-04-03</t>
        </is>
      </c>
      <c r="W1381" t="inlineStr">
        <is>
          <t>2001-03-07</t>
        </is>
      </c>
      <c r="X1381" t="inlineStr">
        <is>
          <t>2001-03-07</t>
        </is>
      </c>
      <c r="Y1381" t="n">
        <v>260</v>
      </c>
      <c r="Z1381" t="n">
        <v>204</v>
      </c>
      <c r="AA1381" t="n">
        <v>204</v>
      </c>
      <c r="AB1381" t="n">
        <v>2</v>
      </c>
      <c r="AC1381" t="n">
        <v>2</v>
      </c>
      <c r="AD1381" t="n">
        <v>10</v>
      </c>
      <c r="AE1381" t="n">
        <v>10</v>
      </c>
      <c r="AF1381" t="n">
        <v>5</v>
      </c>
      <c r="AG1381" t="n">
        <v>5</v>
      </c>
      <c r="AH1381" t="n">
        <v>3</v>
      </c>
      <c r="AI1381" t="n">
        <v>3</v>
      </c>
      <c r="AJ1381" t="n">
        <v>5</v>
      </c>
      <c r="AK1381" t="n">
        <v>5</v>
      </c>
      <c r="AL1381" t="n">
        <v>1</v>
      </c>
      <c r="AM1381" t="n">
        <v>1</v>
      </c>
      <c r="AN1381" t="n">
        <v>0</v>
      </c>
      <c r="AO1381" t="n">
        <v>0</v>
      </c>
      <c r="AP1381" t="inlineStr">
        <is>
          <t>No</t>
        </is>
      </c>
      <c r="AQ1381" t="inlineStr">
        <is>
          <t>No</t>
        </is>
      </c>
      <c r="AS1381">
        <f>HYPERLINK("https://creighton-primo.hosted.exlibrisgroup.com/primo-explore/search?tab=default_tab&amp;search_scope=EVERYTHING&amp;vid=01CRU&amp;lang=en_US&amp;offset=0&amp;query=any,contains,991003475719702656","Catalog Record")</f>
        <v/>
      </c>
      <c r="AT1381">
        <f>HYPERLINK("http://www.worldcat.org/oclc/44841582","WorldCat Record")</f>
        <v/>
      </c>
      <c r="AU1381" t="inlineStr">
        <is>
          <t>5612832160:eng</t>
        </is>
      </c>
      <c r="AV1381" t="inlineStr">
        <is>
          <t>44841582</t>
        </is>
      </c>
      <c r="AW1381" t="inlineStr">
        <is>
          <t>991003475719702656</t>
        </is>
      </c>
      <c r="AX1381" t="inlineStr">
        <is>
          <t>991003475719702656</t>
        </is>
      </c>
      <c r="AY1381" t="inlineStr">
        <is>
          <t>2265454110002656</t>
        </is>
      </c>
      <c r="AZ1381" t="inlineStr">
        <is>
          <t>BOOK</t>
        </is>
      </c>
      <c r="BB1381" t="inlineStr">
        <is>
          <t>9781891389184</t>
        </is>
      </c>
      <c r="BC1381" t="inlineStr">
        <is>
          <t>32285004299607</t>
        </is>
      </c>
      <c r="BD1381" t="inlineStr">
        <is>
          <t>893262756</t>
        </is>
      </c>
    </row>
    <row r="1382">
      <c r="A1382" t="inlineStr">
        <is>
          <t>No</t>
        </is>
      </c>
      <c r="B1382" t="inlineStr">
        <is>
          <t>QD96.N8 S26 1982</t>
        </is>
      </c>
      <c r="C1382" t="inlineStr">
        <is>
          <t>0                      QD 0096000N  8                  S  26          1982</t>
        </is>
      </c>
      <c r="D1382" t="inlineStr">
        <is>
          <t>Dynamic NMR spectroscopy / J. Sandström.</t>
        </is>
      </c>
      <c r="F1382" t="inlineStr">
        <is>
          <t>No</t>
        </is>
      </c>
      <c r="G1382" t="inlineStr">
        <is>
          <t>1</t>
        </is>
      </c>
      <c r="H1382" t="inlineStr">
        <is>
          <t>No</t>
        </is>
      </c>
      <c r="I1382" t="inlineStr">
        <is>
          <t>No</t>
        </is>
      </c>
      <c r="J1382" t="inlineStr">
        <is>
          <t>0</t>
        </is>
      </c>
      <c r="K1382" t="inlineStr">
        <is>
          <t>Sandström, J.</t>
        </is>
      </c>
      <c r="L1382" t="inlineStr">
        <is>
          <t>London ; New York : Academic Press, 1982.</t>
        </is>
      </c>
      <c r="M1382" t="inlineStr">
        <is>
          <t>1982</t>
        </is>
      </c>
      <c r="O1382" t="inlineStr">
        <is>
          <t>eng</t>
        </is>
      </c>
      <c r="P1382" t="inlineStr">
        <is>
          <t>enk</t>
        </is>
      </c>
      <c r="R1382" t="inlineStr">
        <is>
          <t xml:space="preserve">QD </t>
        </is>
      </c>
      <c r="S1382" t="n">
        <v>4</v>
      </c>
      <c r="T1382" t="n">
        <v>4</v>
      </c>
      <c r="U1382" t="inlineStr">
        <is>
          <t>1993-03-29</t>
        </is>
      </c>
      <c r="V1382" t="inlineStr">
        <is>
          <t>1993-03-29</t>
        </is>
      </c>
      <c r="W1382" t="inlineStr">
        <is>
          <t>1992-05-28</t>
        </is>
      </c>
      <c r="X1382" t="inlineStr">
        <is>
          <t>1992-05-28</t>
        </is>
      </c>
      <c r="Y1382" t="n">
        <v>405</v>
      </c>
      <c r="Z1382" t="n">
        <v>276</v>
      </c>
      <c r="AA1382" t="n">
        <v>277</v>
      </c>
      <c r="AB1382" t="n">
        <v>2</v>
      </c>
      <c r="AC1382" t="n">
        <v>2</v>
      </c>
      <c r="AD1382" t="n">
        <v>11</v>
      </c>
      <c r="AE1382" t="n">
        <v>11</v>
      </c>
      <c r="AF1382" t="n">
        <v>2</v>
      </c>
      <c r="AG1382" t="n">
        <v>2</v>
      </c>
      <c r="AH1382" t="n">
        <v>6</v>
      </c>
      <c r="AI1382" t="n">
        <v>6</v>
      </c>
      <c r="AJ1382" t="n">
        <v>5</v>
      </c>
      <c r="AK1382" t="n">
        <v>5</v>
      </c>
      <c r="AL1382" t="n">
        <v>1</v>
      </c>
      <c r="AM1382" t="n">
        <v>1</v>
      </c>
      <c r="AN1382" t="n">
        <v>0</v>
      </c>
      <c r="AO1382" t="n">
        <v>0</v>
      </c>
      <c r="AP1382" t="inlineStr">
        <is>
          <t>No</t>
        </is>
      </c>
      <c r="AQ1382" t="inlineStr">
        <is>
          <t>Yes</t>
        </is>
      </c>
      <c r="AR1382">
        <f>HYPERLINK("http://catalog.hathitrust.org/Record/000106145","HathiTrust Record")</f>
        <v/>
      </c>
      <c r="AS1382">
        <f>HYPERLINK("https://creighton-primo.hosted.exlibrisgroup.com/primo-explore/search?tab=default_tab&amp;search_scope=EVERYTHING&amp;vid=01CRU&amp;lang=en_US&amp;offset=0&amp;query=any,contains,991005253089702656","Catalog Record")</f>
        <v/>
      </c>
      <c r="AT1382">
        <f>HYPERLINK("http://www.worldcat.org/oclc/8503713","WorldCat Record")</f>
        <v/>
      </c>
      <c r="AU1382" t="inlineStr">
        <is>
          <t>197507991:eng</t>
        </is>
      </c>
      <c r="AV1382" t="inlineStr">
        <is>
          <t>8503713</t>
        </is>
      </c>
      <c r="AW1382" t="inlineStr">
        <is>
          <t>991005253089702656</t>
        </is>
      </c>
      <c r="AX1382" t="inlineStr">
        <is>
          <t>991005253089702656</t>
        </is>
      </c>
      <c r="AY1382" t="inlineStr">
        <is>
          <t>2260112310002656</t>
        </is>
      </c>
      <c r="AZ1382" t="inlineStr">
        <is>
          <t>BOOK</t>
        </is>
      </c>
      <c r="BB1382" t="inlineStr">
        <is>
          <t>9780126186208</t>
        </is>
      </c>
      <c r="BC1382" t="inlineStr">
        <is>
          <t>32285001114007</t>
        </is>
      </c>
      <c r="BD1382" t="inlineStr">
        <is>
          <t>893230442</t>
        </is>
      </c>
    </row>
    <row r="1383">
      <c r="A1383" t="inlineStr">
        <is>
          <t>No</t>
        </is>
      </c>
      <c r="B1383" t="inlineStr">
        <is>
          <t>QD96.N8 T87 1987</t>
        </is>
      </c>
      <c r="C1383" t="inlineStr">
        <is>
          <t>0                      QD 0096000N  8                  T  87          1987</t>
        </is>
      </c>
      <c r="D1383" t="inlineStr">
        <is>
          <t>Two-dimensional NMR spectroscopy : applications for chemists and biochemists / edited by William R. Croasmun and Robert M.K. Carlson.</t>
        </is>
      </c>
      <c r="F1383" t="inlineStr">
        <is>
          <t>No</t>
        </is>
      </c>
      <c r="G1383" t="inlineStr">
        <is>
          <t>1</t>
        </is>
      </c>
      <c r="H1383" t="inlineStr">
        <is>
          <t>No</t>
        </is>
      </c>
      <c r="I1383" t="inlineStr">
        <is>
          <t>No</t>
        </is>
      </c>
      <c r="J1383" t="inlineStr">
        <is>
          <t>0</t>
        </is>
      </c>
      <c r="L1383" t="inlineStr">
        <is>
          <t>New York, N.Y. : VCH, c1987.</t>
        </is>
      </c>
      <c r="M1383" t="inlineStr">
        <is>
          <t>1987</t>
        </is>
      </c>
      <c r="O1383" t="inlineStr">
        <is>
          <t>eng</t>
        </is>
      </c>
      <c r="P1383" t="inlineStr">
        <is>
          <t>nyu</t>
        </is>
      </c>
      <c r="Q1383" t="inlineStr">
        <is>
          <t>Methods in stereochemical analysis ; v. 9</t>
        </is>
      </c>
      <c r="R1383" t="inlineStr">
        <is>
          <t xml:space="preserve">QD </t>
        </is>
      </c>
      <c r="S1383" t="n">
        <v>7</v>
      </c>
      <c r="T1383" t="n">
        <v>7</v>
      </c>
      <c r="U1383" t="inlineStr">
        <is>
          <t>2003-09-29</t>
        </is>
      </c>
      <c r="V1383" t="inlineStr">
        <is>
          <t>2003-09-29</t>
        </is>
      </c>
      <c r="W1383" t="inlineStr">
        <is>
          <t>1992-05-28</t>
        </is>
      </c>
      <c r="X1383" t="inlineStr">
        <is>
          <t>1992-05-28</t>
        </is>
      </c>
      <c r="Y1383" t="n">
        <v>547</v>
      </c>
      <c r="Z1383" t="n">
        <v>405</v>
      </c>
      <c r="AA1383" t="n">
        <v>499</v>
      </c>
      <c r="AB1383" t="n">
        <v>3</v>
      </c>
      <c r="AC1383" t="n">
        <v>4</v>
      </c>
      <c r="AD1383" t="n">
        <v>15</v>
      </c>
      <c r="AE1383" t="n">
        <v>18</v>
      </c>
      <c r="AF1383" t="n">
        <v>2</v>
      </c>
      <c r="AG1383" t="n">
        <v>3</v>
      </c>
      <c r="AH1383" t="n">
        <v>5</v>
      </c>
      <c r="AI1383" t="n">
        <v>6</v>
      </c>
      <c r="AJ1383" t="n">
        <v>10</v>
      </c>
      <c r="AK1383" t="n">
        <v>10</v>
      </c>
      <c r="AL1383" t="n">
        <v>2</v>
      </c>
      <c r="AM1383" t="n">
        <v>3</v>
      </c>
      <c r="AN1383" t="n">
        <v>0</v>
      </c>
      <c r="AO1383" t="n">
        <v>0</v>
      </c>
      <c r="AP1383" t="inlineStr">
        <is>
          <t>No</t>
        </is>
      </c>
      <c r="AQ1383" t="inlineStr">
        <is>
          <t>Yes</t>
        </is>
      </c>
      <c r="AR1383">
        <f>HYPERLINK("http://catalog.hathitrust.org/Record/000873469","HathiTrust Record")</f>
        <v/>
      </c>
      <c r="AS1383">
        <f>HYPERLINK("https://creighton-primo.hosted.exlibrisgroup.com/primo-explore/search?tab=default_tab&amp;search_scope=EVERYTHING&amp;vid=01CRU&amp;lang=en_US&amp;offset=0&amp;query=any,contains,991000979929702656","Catalog Record")</f>
        <v/>
      </c>
      <c r="AT1383">
        <f>HYPERLINK("http://www.worldcat.org/oclc/15018494","WorldCat Record")</f>
        <v/>
      </c>
      <c r="AU1383" t="inlineStr">
        <is>
          <t>795308990:eng</t>
        </is>
      </c>
      <c r="AV1383" t="inlineStr">
        <is>
          <t>15018494</t>
        </is>
      </c>
      <c r="AW1383" t="inlineStr">
        <is>
          <t>991000979929702656</t>
        </is>
      </c>
      <c r="AX1383" t="inlineStr">
        <is>
          <t>991000979929702656</t>
        </is>
      </c>
      <c r="AY1383" t="inlineStr">
        <is>
          <t>2265570860002656</t>
        </is>
      </c>
      <c r="AZ1383" t="inlineStr">
        <is>
          <t>BOOK</t>
        </is>
      </c>
      <c r="BB1383" t="inlineStr">
        <is>
          <t>9780895733085</t>
        </is>
      </c>
      <c r="BC1383" t="inlineStr">
        <is>
          <t>32285001113991</t>
        </is>
      </c>
      <c r="BD1383" t="inlineStr">
        <is>
          <t>893784700</t>
        </is>
      </c>
    </row>
    <row r="1384">
      <c r="A1384" t="inlineStr">
        <is>
          <t>No</t>
        </is>
      </c>
      <c r="B1384" t="inlineStr">
        <is>
          <t>QD96.X2 B46</t>
        </is>
      </c>
      <c r="C1384" t="inlineStr">
        <is>
          <t>0                      QD 0096000X  2                  B  46</t>
        </is>
      </c>
      <c r="D1384" t="inlineStr">
        <is>
          <t>Introduction to X-ray spectrometric analysis / Eugene P. Bertin.</t>
        </is>
      </c>
      <c r="F1384" t="inlineStr">
        <is>
          <t>No</t>
        </is>
      </c>
      <c r="G1384" t="inlineStr">
        <is>
          <t>1</t>
        </is>
      </c>
      <c r="H1384" t="inlineStr">
        <is>
          <t>No</t>
        </is>
      </c>
      <c r="I1384" t="inlineStr">
        <is>
          <t>No</t>
        </is>
      </c>
      <c r="J1384" t="inlineStr">
        <is>
          <t>0</t>
        </is>
      </c>
      <c r="K1384" t="inlineStr">
        <is>
          <t>Bertin, Eugene P., 1921-</t>
        </is>
      </c>
      <c r="L1384" t="inlineStr">
        <is>
          <t>New York : Plenum Press, c1978.</t>
        </is>
      </c>
      <c r="M1384" t="inlineStr">
        <is>
          <t>1978</t>
        </is>
      </c>
      <c r="O1384" t="inlineStr">
        <is>
          <t>eng</t>
        </is>
      </c>
      <c r="P1384" t="inlineStr">
        <is>
          <t>nyu</t>
        </is>
      </c>
      <c r="R1384" t="inlineStr">
        <is>
          <t xml:space="preserve">QD </t>
        </is>
      </c>
      <c r="S1384" t="n">
        <v>1</v>
      </c>
      <c r="T1384" t="n">
        <v>1</v>
      </c>
      <c r="U1384" t="inlineStr">
        <is>
          <t>2008-01-28</t>
        </is>
      </c>
      <c r="V1384" t="inlineStr">
        <is>
          <t>2008-01-28</t>
        </is>
      </c>
      <c r="W1384" t="inlineStr">
        <is>
          <t>1993-01-22</t>
        </is>
      </c>
      <c r="X1384" t="inlineStr">
        <is>
          <t>1993-01-22</t>
        </is>
      </c>
      <c r="Y1384" t="n">
        <v>421</v>
      </c>
      <c r="Z1384" t="n">
        <v>287</v>
      </c>
      <c r="AA1384" t="n">
        <v>308</v>
      </c>
      <c r="AB1384" t="n">
        <v>3</v>
      </c>
      <c r="AC1384" t="n">
        <v>3</v>
      </c>
      <c r="AD1384" t="n">
        <v>10</v>
      </c>
      <c r="AE1384" t="n">
        <v>12</v>
      </c>
      <c r="AF1384" t="n">
        <v>3</v>
      </c>
      <c r="AG1384" t="n">
        <v>5</v>
      </c>
      <c r="AH1384" t="n">
        <v>4</v>
      </c>
      <c r="AI1384" t="n">
        <v>5</v>
      </c>
      <c r="AJ1384" t="n">
        <v>4</v>
      </c>
      <c r="AK1384" t="n">
        <v>5</v>
      </c>
      <c r="AL1384" t="n">
        <v>2</v>
      </c>
      <c r="AM1384" t="n">
        <v>2</v>
      </c>
      <c r="AN1384" t="n">
        <v>0</v>
      </c>
      <c r="AO1384" t="n">
        <v>0</v>
      </c>
      <c r="AP1384" t="inlineStr">
        <is>
          <t>No</t>
        </is>
      </c>
      <c r="AQ1384" t="inlineStr">
        <is>
          <t>Yes</t>
        </is>
      </c>
      <c r="AR1384">
        <f>HYPERLINK("http://catalog.hathitrust.org/Record/000089525","HathiTrust Record")</f>
        <v/>
      </c>
      <c r="AS1384">
        <f>HYPERLINK("https://creighton-primo.hosted.exlibrisgroup.com/primo-explore/search?tab=default_tab&amp;search_scope=EVERYTHING&amp;vid=01CRU&amp;lang=en_US&amp;offset=0&amp;query=any,contains,991004459389702656","Catalog Record")</f>
        <v/>
      </c>
      <c r="AT1384">
        <f>HYPERLINK("http://www.worldcat.org/oclc/3541945","WorldCat Record")</f>
        <v/>
      </c>
      <c r="AU1384" t="inlineStr">
        <is>
          <t>436583:eng</t>
        </is>
      </c>
      <c r="AV1384" t="inlineStr">
        <is>
          <t>3541945</t>
        </is>
      </c>
      <c r="AW1384" t="inlineStr">
        <is>
          <t>991004459389702656</t>
        </is>
      </c>
      <c r="AX1384" t="inlineStr">
        <is>
          <t>991004459389702656</t>
        </is>
      </c>
      <c r="AY1384" t="inlineStr">
        <is>
          <t>2266329370002656</t>
        </is>
      </c>
      <c r="AZ1384" t="inlineStr">
        <is>
          <t>BOOK</t>
        </is>
      </c>
      <c r="BB1384" t="inlineStr">
        <is>
          <t>9780306310911</t>
        </is>
      </c>
      <c r="BC1384" t="inlineStr">
        <is>
          <t>32285001515419</t>
        </is>
      </c>
      <c r="BD1384" t="inlineStr">
        <is>
          <t>893519673</t>
        </is>
      </c>
    </row>
    <row r="1385">
      <c r="A1385" t="inlineStr">
        <is>
          <t>No</t>
        </is>
      </c>
      <c r="B1385" t="inlineStr">
        <is>
          <t>QD96.X2 B47 1975</t>
        </is>
      </c>
      <c r="C1385" t="inlineStr">
        <is>
          <t>0                      QD 0096000X  2                  B  47          1975</t>
        </is>
      </c>
      <c r="D1385" t="inlineStr">
        <is>
          <t>Principles and practice of X-ray spectrometric analysis / Eugene P. Bertin.</t>
        </is>
      </c>
      <c r="F1385" t="inlineStr">
        <is>
          <t>No</t>
        </is>
      </c>
      <c r="G1385" t="inlineStr">
        <is>
          <t>1</t>
        </is>
      </c>
      <c r="H1385" t="inlineStr">
        <is>
          <t>No</t>
        </is>
      </c>
      <c r="I1385" t="inlineStr">
        <is>
          <t>No</t>
        </is>
      </c>
      <c r="J1385" t="inlineStr">
        <is>
          <t>0</t>
        </is>
      </c>
      <c r="K1385" t="inlineStr">
        <is>
          <t>Bertin, Eugene P., 1921-</t>
        </is>
      </c>
      <c r="L1385" t="inlineStr">
        <is>
          <t>New York : Plenum Press, [1975]</t>
        </is>
      </c>
      <c r="M1385" t="inlineStr">
        <is>
          <t>1975</t>
        </is>
      </c>
      <c r="N1385" t="inlineStr">
        <is>
          <t>2d ed.</t>
        </is>
      </c>
      <c r="O1385" t="inlineStr">
        <is>
          <t>eng</t>
        </is>
      </c>
      <c r="P1385" t="inlineStr">
        <is>
          <t>nyu</t>
        </is>
      </c>
      <c r="R1385" t="inlineStr">
        <is>
          <t xml:space="preserve">QD </t>
        </is>
      </c>
      <c r="S1385" t="n">
        <v>2</v>
      </c>
      <c r="T1385" t="n">
        <v>2</v>
      </c>
      <c r="U1385" t="inlineStr">
        <is>
          <t>1993-05-27</t>
        </is>
      </c>
      <c r="V1385" t="inlineStr">
        <is>
          <t>1993-05-27</t>
        </is>
      </c>
      <c r="W1385" t="inlineStr">
        <is>
          <t>1992-12-18</t>
        </is>
      </c>
      <c r="X1385" t="inlineStr">
        <is>
          <t>1992-12-18</t>
        </is>
      </c>
      <c r="Y1385" t="n">
        <v>305</v>
      </c>
      <c r="Z1385" t="n">
        <v>194</v>
      </c>
      <c r="AA1385" t="n">
        <v>368</v>
      </c>
      <c r="AB1385" t="n">
        <v>2</v>
      </c>
      <c r="AC1385" t="n">
        <v>4</v>
      </c>
      <c r="AD1385" t="n">
        <v>6</v>
      </c>
      <c r="AE1385" t="n">
        <v>13</v>
      </c>
      <c r="AF1385" t="n">
        <v>1</v>
      </c>
      <c r="AG1385" t="n">
        <v>4</v>
      </c>
      <c r="AH1385" t="n">
        <v>4</v>
      </c>
      <c r="AI1385" t="n">
        <v>4</v>
      </c>
      <c r="AJ1385" t="n">
        <v>2</v>
      </c>
      <c r="AK1385" t="n">
        <v>6</v>
      </c>
      <c r="AL1385" t="n">
        <v>1</v>
      </c>
      <c r="AM1385" t="n">
        <v>3</v>
      </c>
      <c r="AN1385" t="n">
        <v>0</v>
      </c>
      <c r="AO1385" t="n">
        <v>0</v>
      </c>
      <c r="AP1385" t="inlineStr">
        <is>
          <t>No</t>
        </is>
      </c>
      <c r="AQ1385" t="inlineStr">
        <is>
          <t>Yes</t>
        </is>
      </c>
      <c r="AR1385">
        <f>HYPERLINK("http://catalog.hathitrust.org/Record/006150739","HathiTrust Record")</f>
        <v/>
      </c>
      <c r="AS1385">
        <f>HYPERLINK("https://creighton-primo.hosted.exlibrisgroup.com/primo-explore/search?tab=default_tab&amp;search_scope=EVERYTHING&amp;vid=01CRU&amp;lang=en_US&amp;offset=0&amp;query=any,contains,991003539739702656","Catalog Record")</f>
        <v/>
      </c>
      <c r="AT1385">
        <f>HYPERLINK("http://www.worldcat.org/oclc/1104191","WorldCat Record")</f>
        <v/>
      </c>
      <c r="AU1385" t="inlineStr">
        <is>
          <t>4918895237:eng</t>
        </is>
      </c>
      <c r="AV1385" t="inlineStr">
        <is>
          <t>1104191</t>
        </is>
      </c>
      <c r="AW1385" t="inlineStr">
        <is>
          <t>991003539739702656</t>
        </is>
      </c>
      <c r="AX1385" t="inlineStr">
        <is>
          <t>991003539739702656</t>
        </is>
      </c>
      <c r="AY1385" t="inlineStr">
        <is>
          <t>2256396800002656</t>
        </is>
      </c>
      <c r="AZ1385" t="inlineStr">
        <is>
          <t>BOOK</t>
        </is>
      </c>
      <c r="BB1385" t="inlineStr">
        <is>
          <t>9780306308093</t>
        </is>
      </c>
      <c r="BC1385" t="inlineStr">
        <is>
          <t>32285001443851</t>
        </is>
      </c>
      <c r="BD1385" t="inlineStr">
        <is>
          <t>893887568</t>
        </is>
      </c>
    </row>
    <row r="1386">
      <c r="A1386" t="inlineStr">
        <is>
          <t>No</t>
        </is>
      </c>
      <c r="B1386" t="inlineStr">
        <is>
          <t>QD96.X2 T65 1990</t>
        </is>
      </c>
      <c r="C1386" t="inlineStr">
        <is>
          <t>0                      QD 0096000X  2                  T  65          1990</t>
        </is>
      </c>
      <c r="D1386" t="inlineStr">
        <is>
          <t>Radionuclide x-ray fluorescence analysis with environmental applications / by J. Tölgyessy, E. Havránek, and E. Dejmková.</t>
        </is>
      </c>
      <c r="F1386" t="inlineStr">
        <is>
          <t>No</t>
        </is>
      </c>
      <c r="G1386" t="inlineStr">
        <is>
          <t>1</t>
        </is>
      </c>
      <c r="H1386" t="inlineStr">
        <is>
          <t>No</t>
        </is>
      </c>
      <c r="I1386" t="inlineStr">
        <is>
          <t>No</t>
        </is>
      </c>
      <c r="J1386" t="inlineStr">
        <is>
          <t>0</t>
        </is>
      </c>
      <c r="K1386" t="inlineStr">
        <is>
          <t>Tölgyessy, Juraj.</t>
        </is>
      </c>
      <c r="L1386" t="inlineStr">
        <is>
          <t>Amsterdam ; New York : Elsevier, 1990.</t>
        </is>
      </c>
      <c r="M1386" t="inlineStr">
        <is>
          <t>1990</t>
        </is>
      </c>
      <c r="O1386" t="inlineStr">
        <is>
          <t>eng</t>
        </is>
      </c>
      <c r="P1386" t="inlineStr">
        <is>
          <t xml:space="preserve">ne </t>
        </is>
      </c>
      <c r="Q1386" t="inlineStr">
        <is>
          <t>Wilson and Wilson's comrehensive analytical chemistry ; v. 26</t>
        </is>
      </c>
      <c r="R1386" t="inlineStr">
        <is>
          <t xml:space="preserve">QD </t>
        </is>
      </c>
      <c r="S1386" t="n">
        <v>6</v>
      </c>
      <c r="T1386" t="n">
        <v>6</v>
      </c>
      <c r="U1386" t="inlineStr">
        <is>
          <t>1998-04-07</t>
        </is>
      </c>
      <c r="V1386" t="inlineStr">
        <is>
          <t>1998-04-07</t>
        </is>
      </c>
      <c r="W1386" t="inlineStr">
        <is>
          <t>1991-05-22</t>
        </is>
      </c>
      <c r="X1386" t="inlineStr">
        <is>
          <t>1991-05-22</t>
        </is>
      </c>
      <c r="Y1386" t="n">
        <v>172</v>
      </c>
      <c r="Z1386" t="n">
        <v>102</v>
      </c>
      <c r="AA1386" t="n">
        <v>104</v>
      </c>
      <c r="AB1386" t="n">
        <v>2</v>
      </c>
      <c r="AC1386" t="n">
        <v>2</v>
      </c>
      <c r="AD1386" t="n">
        <v>6</v>
      </c>
      <c r="AE1386" t="n">
        <v>6</v>
      </c>
      <c r="AF1386" t="n">
        <v>0</v>
      </c>
      <c r="AG1386" t="n">
        <v>0</v>
      </c>
      <c r="AH1386" t="n">
        <v>3</v>
      </c>
      <c r="AI1386" t="n">
        <v>3</v>
      </c>
      <c r="AJ1386" t="n">
        <v>4</v>
      </c>
      <c r="AK1386" t="n">
        <v>4</v>
      </c>
      <c r="AL1386" t="n">
        <v>1</v>
      </c>
      <c r="AM1386" t="n">
        <v>1</v>
      </c>
      <c r="AN1386" t="n">
        <v>0</v>
      </c>
      <c r="AO1386" t="n">
        <v>0</v>
      </c>
      <c r="AP1386" t="inlineStr">
        <is>
          <t>No</t>
        </is>
      </c>
      <c r="AQ1386" t="inlineStr">
        <is>
          <t>Yes</t>
        </is>
      </c>
      <c r="AR1386">
        <f>HYPERLINK("http://catalog.hathitrust.org/Record/009463544","HathiTrust Record")</f>
        <v/>
      </c>
      <c r="AS1386">
        <f>HYPERLINK("https://creighton-primo.hosted.exlibrisgroup.com/primo-explore/search?tab=default_tab&amp;search_scope=EVERYTHING&amp;vid=01CRU&amp;lang=en_US&amp;offset=0&amp;query=any,contains,991001671409702656","Catalog Record")</f>
        <v/>
      </c>
      <c r="AT1386">
        <f>HYPERLINK("http://www.worldcat.org/oclc/21294440","WorldCat Record")</f>
        <v/>
      </c>
      <c r="AU1386" t="inlineStr">
        <is>
          <t>23739403:eng</t>
        </is>
      </c>
      <c r="AV1386" t="inlineStr">
        <is>
          <t>21294440</t>
        </is>
      </c>
      <c r="AW1386" t="inlineStr">
        <is>
          <t>991001671409702656</t>
        </is>
      </c>
      <c r="AX1386" t="inlineStr">
        <is>
          <t>991001671409702656</t>
        </is>
      </c>
      <c r="AY1386" t="inlineStr">
        <is>
          <t>2265237000002656</t>
        </is>
      </c>
      <c r="AZ1386" t="inlineStr">
        <is>
          <t>BOOK</t>
        </is>
      </c>
      <c r="BB1386" t="inlineStr">
        <is>
          <t>9780444988379</t>
        </is>
      </c>
      <c r="BC1386" t="inlineStr">
        <is>
          <t>32285000574680</t>
        </is>
      </c>
      <c r="BD1386" t="inlineStr">
        <is>
          <t>893596619</t>
        </is>
      </c>
    </row>
    <row r="1387">
      <c r="A1387" t="inlineStr">
        <is>
          <t>No</t>
        </is>
      </c>
      <c r="B1387" t="inlineStr">
        <is>
          <t>QD96.X2 X28 2004</t>
        </is>
      </c>
      <c r="C1387" t="inlineStr">
        <is>
          <t>0                      QD 0096000X  2                  X  28          2004</t>
        </is>
      </c>
      <c r="D1387" t="inlineStr">
        <is>
          <t>X-ray spectrometry : recent technological advances / edited by Kouichi Tsuji, Jasna Injuk, Renae Van Grieken.</t>
        </is>
      </c>
      <c r="F1387" t="inlineStr">
        <is>
          <t>No</t>
        </is>
      </c>
      <c r="G1387" t="inlineStr">
        <is>
          <t>1</t>
        </is>
      </c>
      <c r="H1387" t="inlineStr">
        <is>
          <t>No</t>
        </is>
      </c>
      <c r="I1387" t="inlineStr">
        <is>
          <t>No</t>
        </is>
      </c>
      <c r="J1387" t="inlineStr">
        <is>
          <t>0</t>
        </is>
      </c>
      <c r="L1387" t="inlineStr">
        <is>
          <t>Chichester, West Sussex, England ; Hoboken, NJ : Wiley, c2004.</t>
        </is>
      </c>
      <c r="M1387" t="inlineStr">
        <is>
          <t>2004</t>
        </is>
      </c>
      <c r="O1387" t="inlineStr">
        <is>
          <t>eng</t>
        </is>
      </c>
      <c r="P1387" t="inlineStr">
        <is>
          <t>enk</t>
        </is>
      </c>
      <c r="R1387" t="inlineStr">
        <is>
          <t xml:space="preserve">QD </t>
        </is>
      </c>
      <c r="S1387" t="n">
        <v>2</v>
      </c>
      <c r="T1387" t="n">
        <v>2</v>
      </c>
      <c r="U1387" t="inlineStr">
        <is>
          <t>2004-06-09</t>
        </is>
      </c>
      <c r="V1387" t="inlineStr">
        <is>
          <t>2004-06-09</t>
        </is>
      </c>
      <c r="W1387" t="inlineStr">
        <is>
          <t>2004-06-09</t>
        </is>
      </c>
      <c r="X1387" t="inlineStr">
        <is>
          <t>2004-06-09</t>
        </is>
      </c>
      <c r="Y1387" t="n">
        <v>118</v>
      </c>
      <c r="Z1387" t="n">
        <v>70</v>
      </c>
      <c r="AA1387" t="n">
        <v>135</v>
      </c>
      <c r="AB1387" t="n">
        <v>1</v>
      </c>
      <c r="AC1387" t="n">
        <v>1</v>
      </c>
      <c r="AD1387" t="n">
        <v>2</v>
      </c>
      <c r="AE1387" t="n">
        <v>3</v>
      </c>
      <c r="AF1387" t="n">
        <v>0</v>
      </c>
      <c r="AG1387" t="n">
        <v>1</v>
      </c>
      <c r="AH1387" t="n">
        <v>2</v>
      </c>
      <c r="AI1387" t="n">
        <v>2</v>
      </c>
      <c r="AJ1387" t="n">
        <v>2</v>
      </c>
      <c r="AK1387" t="n">
        <v>3</v>
      </c>
      <c r="AL1387" t="n">
        <v>0</v>
      </c>
      <c r="AM1387" t="n">
        <v>0</v>
      </c>
      <c r="AN1387" t="n">
        <v>0</v>
      </c>
      <c r="AO1387" t="n">
        <v>0</v>
      </c>
      <c r="AP1387" t="inlineStr">
        <is>
          <t>No</t>
        </is>
      </c>
      <c r="AQ1387" t="inlineStr">
        <is>
          <t>No</t>
        </is>
      </c>
      <c r="AS1387">
        <f>HYPERLINK("https://creighton-primo.hosted.exlibrisgroup.com/primo-explore/search?tab=default_tab&amp;search_scope=EVERYTHING&amp;vid=01CRU&amp;lang=en_US&amp;offset=0&amp;query=any,contains,991004239249702656","Catalog Record")</f>
        <v/>
      </c>
      <c r="AT1387">
        <f>HYPERLINK("http://www.worldcat.org/oclc/52766309","WorldCat Record")</f>
        <v/>
      </c>
      <c r="AU1387" t="inlineStr">
        <is>
          <t>792165886:eng</t>
        </is>
      </c>
      <c r="AV1387" t="inlineStr">
        <is>
          <t>52766309</t>
        </is>
      </c>
      <c r="AW1387" t="inlineStr">
        <is>
          <t>991004239249702656</t>
        </is>
      </c>
      <c r="AX1387" t="inlineStr">
        <is>
          <t>991004239249702656</t>
        </is>
      </c>
      <c r="AY1387" t="inlineStr">
        <is>
          <t>2263943190002656</t>
        </is>
      </c>
      <c r="AZ1387" t="inlineStr">
        <is>
          <t>BOOK</t>
        </is>
      </c>
      <c r="BB1387" t="inlineStr">
        <is>
          <t>9780471486404</t>
        </is>
      </c>
      <c r="BC1387" t="inlineStr">
        <is>
          <t>32285004908835</t>
        </is>
      </c>
      <c r="BD1387" t="inlineStr">
        <is>
          <t>893353300</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2022-05-21T17:14:50Z</dcterms:created>
  <dcterms:modified xsi:type="dcterms:W3CDTF">2022-05-21T17:14:50Z</dcterms:modified>
</cp:coreProperties>
</file>